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Korisnik\Desktop\"/>
    </mc:Choice>
  </mc:AlternateContent>
  <workbookProtection workbookPassword="DE31" lockStructure="1"/>
  <bookViews>
    <workbookView xWindow="0" yWindow="0" windowWidth="20490" windowHeight="7065" activeTab="3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_xlnm.Print_Area" localSheetId="6">'ANALITIKA EU PROJEKATA'!$A$2:$I$3</definedName>
    <definedName name="_xlnm.Print_Area" localSheetId="0">'Opći dio'!#REF!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52511"/>
</workbook>
</file>

<file path=xl/calcChain.xml><?xml version="1.0" encoding="utf-8"?>
<calcChain xmlns="http://schemas.openxmlformats.org/spreadsheetml/2006/main">
  <c r="H337" i="17" l="1"/>
  <c r="M337" i="17"/>
  <c r="N337" i="17"/>
  <c r="H338" i="17"/>
  <c r="M338" i="17"/>
  <c r="N338" i="17"/>
  <c r="H339" i="17"/>
  <c r="M339" i="17"/>
  <c r="N339" i="17"/>
  <c r="H322" i="17"/>
  <c r="M322" i="17"/>
  <c r="N322" i="17"/>
  <c r="H304" i="17"/>
  <c r="M304" i="17"/>
  <c r="N304" i="17"/>
  <c r="H305" i="17"/>
  <c r="M305" i="17"/>
  <c r="N305" i="17"/>
  <c r="H290" i="17"/>
  <c r="M290" i="17"/>
  <c r="N290" i="17"/>
  <c r="H274" i="17"/>
  <c r="M274" i="17"/>
  <c r="N274" i="17"/>
  <c r="H275" i="17"/>
  <c r="M275" i="17"/>
  <c r="N275" i="17"/>
  <c r="H268" i="17"/>
  <c r="M268" i="17"/>
  <c r="N268" i="17"/>
  <c r="H269" i="17"/>
  <c r="M269" i="17"/>
  <c r="N269" i="17"/>
  <c r="H241" i="17"/>
  <c r="M241" i="17"/>
  <c r="N241" i="17"/>
  <c r="H237" i="17"/>
  <c r="M237" i="17"/>
  <c r="N237" i="17"/>
  <c r="H238" i="17"/>
  <c r="M238" i="17"/>
  <c r="N238" i="17"/>
  <c r="H206" i="17"/>
  <c r="M206" i="17"/>
  <c r="N206" i="17"/>
  <c r="H186" i="17"/>
  <c r="M186" i="17"/>
  <c r="N186" i="17"/>
  <c r="H187" i="17"/>
  <c r="M187" i="17"/>
  <c r="N187" i="17"/>
  <c r="H167" i="17"/>
  <c r="M167" i="17"/>
  <c r="N167" i="17"/>
  <c r="H163" i="17"/>
  <c r="M163" i="17"/>
  <c r="N163" i="17"/>
  <c r="H164" i="17"/>
  <c r="M164" i="17"/>
  <c r="N164" i="17"/>
  <c r="H111" i="17"/>
  <c r="M111" i="17"/>
  <c r="N111" i="17"/>
  <c r="U111" i="17"/>
  <c r="V111" i="17"/>
  <c r="H99" i="17"/>
  <c r="M99" i="17"/>
  <c r="N99" i="17"/>
  <c r="U99" i="17"/>
  <c r="V99" i="17"/>
  <c r="H55" i="17"/>
  <c r="M55" i="17"/>
  <c r="N55" i="17"/>
  <c r="U55" i="17"/>
  <c r="V55" i="17"/>
  <c r="H53" i="17"/>
  <c r="M53" i="17"/>
  <c r="N53" i="17"/>
  <c r="U53" i="17"/>
  <c r="V53" i="17"/>
  <c r="H10" i="17"/>
  <c r="M10" i="17"/>
  <c r="N10" i="17"/>
  <c r="U10" i="17"/>
  <c r="V10" i="17"/>
  <c r="H16" i="17"/>
  <c r="M16" i="17"/>
  <c r="N16" i="17"/>
  <c r="U16" i="17"/>
  <c r="V16" i="17"/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1" i="17"/>
  <c r="H12" i="17"/>
  <c r="H13" i="17"/>
  <c r="H14" i="17"/>
  <c r="H15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4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100" i="17"/>
  <c r="H101" i="17"/>
  <c r="H102" i="17"/>
  <c r="H103" i="17"/>
  <c r="H104" i="17"/>
  <c r="H105" i="17"/>
  <c r="H106" i="17"/>
  <c r="H107" i="17"/>
  <c r="H108" i="17"/>
  <c r="H109" i="17"/>
  <c r="H110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5" i="17"/>
  <c r="H166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9" i="17"/>
  <c r="H240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70" i="17"/>
  <c r="H271" i="17"/>
  <c r="H272" i="17"/>
  <c r="H273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N50" i="14" l="1"/>
  <c r="J50" i="14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V9" i="4" l="1"/>
  <c r="M3" i="17"/>
  <c r="V73" i="4" l="1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6" i="13" l="1"/>
  <c r="P101" i="13"/>
  <c r="P96" i="13"/>
  <c r="P92" i="13"/>
  <c r="P88" i="13"/>
  <c r="P84" i="13"/>
  <c r="P67" i="13"/>
  <c r="P63" i="13"/>
  <c r="P58" i="13"/>
  <c r="P54" i="13"/>
  <c r="P50" i="13"/>
  <c r="P35" i="13"/>
  <c r="P30" i="13"/>
  <c r="P25" i="13"/>
  <c r="P21" i="13"/>
  <c r="P17" i="13"/>
  <c r="P13" i="13"/>
  <c r="P104" i="13"/>
  <c r="P100" i="13"/>
  <c r="P95" i="13"/>
  <c r="P91" i="13"/>
  <c r="P87" i="13"/>
  <c r="P83" i="13"/>
  <c r="P66" i="13"/>
  <c r="P61" i="13"/>
  <c r="P57" i="13"/>
  <c r="P53" i="13"/>
  <c r="P49" i="13"/>
  <c r="P34" i="13"/>
  <c r="P29" i="13"/>
  <c r="P24" i="13"/>
  <c r="P20" i="13"/>
  <c r="P16" i="13"/>
  <c r="P12" i="13"/>
  <c r="P103" i="13"/>
  <c r="P99" i="13"/>
  <c r="P94" i="13"/>
  <c r="P90" i="13"/>
  <c r="P86" i="13"/>
  <c r="P70" i="13"/>
  <c r="P65" i="13"/>
  <c r="P60" i="13"/>
  <c r="P56" i="13"/>
  <c r="P52" i="13"/>
  <c r="P48" i="13"/>
  <c r="P32" i="13"/>
  <c r="P28" i="13"/>
  <c r="P23" i="13"/>
  <c r="P19" i="13"/>
  <c r="P15" i="13"/>
  <c r="P11" i="13"/>
  <c r="P102" i="13"/>
  <c r="P97" i="13"/>
  <c r="P93" i="13"/>
  <c r="P89" i="13"/>
  <c r="P85" i="13"/>
  <c r="P68" i="13"/>
  <c r="P64" i="13"/>
  <c r="P59" i="13"/>
  <c r="P55" i="13"/>
  <c r="P51" i="13"/>
  <c r="P47" i="13"/>
  <c r="P31" i="13"/>
  <c r="P27" i="13"/>
  <c r="P22" i="13"/>
  <c r="P18" i="13"/>
  <c r="P14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4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100" i="17"/>
  <c r="V101" i="17"/>
  <c r="V102" i="17"/>
  <c r="V103" i="17"/>
  <c r="V104" i="17"/>
  <c r="V105" i="17"/>
  <c r="V106" i="17"/>
  <c r="V107" i="17"/>
  <c r="V108" i="17"/>
  <c r="V109" i="17"/>
  <c r="V110" i="17"/>
  <c r="V112" i="17"/>
  <c r="V113" i="17"/>
  <c r="V114" i="17"/>
  <c r="V115" i="17"/>
  <c r="V116" i="17"/>
  <c r="V117" i="17"/>
  <c r="V118" i="17"/>
  <c r="V5" i="17"/>
  <c r="N108" i="14"/>
  <c r="J108" i="14"/>
  <c r="N107" i="14"/>
  <c r="J107" i="14"/>
  <c r="N105" i="14"/>
  <c r="J105" i="14"/>
  <c r="N104" i="14"/>
  <c r="J104" i="14"/>
  <c r="N103" i="14"/>
  <c r="J103" i="14"/>
  <c r="N102" i="14"/>
  <c r="J102" i="14"/>
  <c r="N101" i="14"/>
  <c r="J101" i="14"/>
  <c r="N99" i="14"/>
  <c r="J99" i="14"/>
  <c r="N98" i="14"/>
  <c r="J98" i="14"/>
  <c r="N97" i="14"/>
  <c r="J97" i="14"/>
  <c r="N96" i="14"/>
  <c r="J96" i="14"/>
  <c r="N95" i="14"/>
  <c r="J95" i="14"/>
  <c r="N94" i="14"/>
  <c r="J94" i="14"/>
  <c r="N93" i="14"/>
  <c r="J93" i="14"/>
  <c r="J81" i="14"/>
  <c r="N81" i="14"/>
  <c r="J82" i="14"/>
  <c r="N82" i="14"/>
  <c r="J83" i="14"/>
  <c r="N83" i="14"/>
  <c r="J84" i="14"/>
  <c r="N84" i="14"/>
  <c r="J85" i="14"/>
  <c r="N85" i="14"/>
  <c r="J87" i="14"/>
  <c r="N87" i="14"/>
  <c r="N88" i="14"/>
  <c r="J88" i="14"/>
  <c r="N79" i="14"/>
  <c r="J79" i="14"/>
  <c r="N78" i="14"/>
  <c r="J78" i="14"/>
  <c r="N77" i="14"/>
  <c r="J77" i="14"/>
  <c r="N76" i="14"/>
  <c r="J76" i="14"/>
  <c r="N75" i="14"/>
  <c r="J75" i="14"/>
  <c r="N74" i="14"/>
  <c r="J74" i="14"/>
  <c r="N73" i="14"/>
  <c r="J73" i="14"/>
  <c r="P86" i="14" l="1"/>
  <c r="N86" i="14"/>
  <c r="J86" i="14"/>
  <c r="N68" i="14"/>
  <c r="J68" i="14"/>
  <c r="N67" i="14"/>
  <c r="J67" i="14"/>
  <c r="N66" i="14"/>
  <c r="J66" i="14"/>
  <c r="N65" i="14"/>
  <c r="J65" i="14"/>
  <c r="N64" i="14"/>
  <c r="J64" i="14"/>
  <c r="N62" i="14"/>
  <c r="J62" i="14"/>
  <c r="N61" i="14"/>
  <c r="J61" i="14"/>
  <c r="N60" i="14"/>
  <c r="J60" i="14"/>
  <c r="N57" i="14"/>
  <c r="J57" i="14"/>
  <c r="N56" i="14"/>
  <c r="J56" i="14"/>
  <c r="N55" i="14"/>
  <c r="J55" i="14"/>
  <c r="N54" i="14"/>
  <c r="J54" i="14"/>
  <c r="N52" i="14"/>
  <c r="J52" i="14"/>
  <c r="N48" i="14"/>
  <c r="J48" i="14"/>
  <c r="N47" i="14"/>
  <c r="J47" i="14"/>
  <c r="N46" i="14"/>
  <c r="J46" i="14"/>
  <c r="N45" i="14"/>
  <c r="J45" i="14"/>
  <c r="N44" i="14"/>
  <c r="J44" i="14"/>
  <c r="N43" i="14"/>
  <c r="J43" i="14"/>
  <c r="N41" i="14"/>
  <c r="J41" i="14"/>
  <c r="N40" i="14"/>
  <c r="J40" i="14"/>
  <c r="J59" i="14" l="1"/>
  <c r="N59" i="14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N37" i="14" l="1"/>
  <c r="J37" i="14"/>
  <c r="N36" i="14"/>
  <c r="J36" i="14"/>
  <c r="N35" i="14"/>
  <c r="J35" i="14"/>
  <c r="N34" i="14"/>
  <c r="J34" i="14"/>
  <c r="N32" i="14"/>
  <c r="J32" i="14"/>
  <c r="N31" i="14"/>
  <c r="J31" i="14"/>
  <c r="N29" i="14"/>
  <c r="J29" i="14"/>
  <c r="N28" i="14"/>
  <c r="J28" i="14"/>
  <c r="N27" i="14"/>
  <c r="J27" i="14"/>
  <c r="N26" i="14"/>
  <c r="J26" i="14"/>
  <c r="N25" i="14"/>
  <c r="J25" i="14"/>
  <c r="N24" i="14"/>
  <c r="J24" i="14"/>
  <c r="N22" i="14"/>
  <c r="J22" i="14"/>
  <c r="N21" i="14"/>
  <c r="J21" i="14"/>
  <c r="N20" i="14"/>
  <c r="J20" i="14"/>
  <c r="N18" i="14"/>
  <c r="J18" i="14"/>
  <c r="N17" i="14"/>
  <c r="J17" i="14"/>
  <c r="N16" i="14"/>
  <c r="J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M4" i="17"/>
  <c r="N4" i="17"/>
  <c r="M5" i="17"/>
  <c r="N5" i="17"/>
  <c r="M6" i="17"/>
  <c r="N6" i="17"/>
  <c r="M7" i="17"/>
  <c r="N7" i="17"/>
  <c r="M8" i="17"/>
  <c r="N8" i="17"/>
  <c r="M9" i="17"/>
  <c r="N9" i="17"/>
  <c r="M11" i="17"/>
  <c r="N11" i="17"/>
  <c r="M12" i="17"/>
  <c r="N12" i="17"/>
  <c r="M13" i="17"/>
  <c r="N13" i="17"/>
  <c r="M14" i="17"/>
  <c r="N14" i="17"/>
  <c r="M15" i="17"/>
  <c r="N15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4" i="17"/>
  <c r="N54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5" i="17"/>
  <c r="N165" i="17"/>
  <c r="M166" i="17"/>
  <c r="N166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9" i="17"/>
  <c r="N239" i="17"/>
  <c r="M240" i="17"/>
  <c r="N240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70" i="17"/>
  <c r="N270" i="17"/>
  <c r="M271" i="17"/>
  <c r="N271" i="17"/>
  <c r="M272" i="17"/>
  <c r="N272" i="17"/>
  <c r="M273" i="17"/>
  <c r="N273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N14" i="14"/>
  <c r="J14" i="14"/>
  <c r="N13" i="14"/>
  <c r="J13" i="14"/>
  <c r="N12" i="14"/>
  <c r="J12" i="14"/>
  <c r="N11" i="14"/>
  <c r="J11" i="14"/>
  <c r="N10" i="14"/>
  <c r="J10" i="14"/>
  <c r="N8" i="14"/>
  <c r="J8" i="14"/>
  <c r="N7" i="14"/>
  <c r="J7" i="14"/>
  <c r="N6" i="14"/>
  <c r="J6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6" i="17"/>
  <c r="U32" i="17"/>
  <c r="U46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63" i="17"/>
  <c r="U5" i="17"/>
  <c r="L10" i="14" l="1"/>
  <c r="I7" i="14"/>
  <c r="D6" i="14"/>
  <c r="K6" i="14"/>
  <c r="M13" i="14"/>
  <c r="M8" i="14"/>
  <c r="E11" i="14"/>
  <c r="O6" i="14"/>
  <c r="I12" i="14"/>
  <c r="H10" i="14"/>
  <c r="F7" i="14"/>
  <c r="L14" i="14"/>
  <c r="F6" i="14"/>
  <c r="F12" i="14"/>
  <c r="H13" i="14"/>
  <c r="H14" i="14"/>
  <c r="H8" i="14"/>
  <c r="L36" i="14"/>
  <c r="K12" i="14"/>
  <c r="E13" i="14"/>
  <c r="O13" i="14"/>
  <c r="M37" i="14"/>
  <c r="I6" i="14"/>
  <c r="H11" i="14"/>
  <c r="K36" i="14"/>
  <c r="O28" i="14"/>
  <c r="I31" i="14"/>
  <c r="G34" i="14"/>
  <c r="F37" i="14"/>
  <c r="E36" i="14"/>
  <c r="D7" i="14"/>
  <c r="H36" i="14"/>
  <c r="G16" i="14"/>
  <c r="M16" i="14"/>
  <c r="H17" i="14"/>
  <c r="E18" i="14"/>
  <c r="K18" i="14"/>
  <c r="F20" i="14"/>
  <c r="O21" i="14"/>
  <c r="L22" i="14"/>
  <c r="I24" i="14"/>
  <c r="G26" i="14"/>
  <c r="M26" i="14"/>
  <c r="H27" i="14"/>
  <c r="E28" i="14"/>
  <c r="K28" i="14"/>
  <c r="F29" i="14"/>
  <c r="O31" i="14"/>
  <c r="L32" i="14"/>
  <c r="I34" i="14"/>
  <c r="G36" i="14"/>
  <c r="M36" i="14"/>
  <c r="H37" i="14"/>
  <c r="D28" i="14"/>
  <c r="H6" i="14"/>
  <c r="L6" i="14"/>
  <c r="O7" i="14"/>
  <c r="I8" i="14"/>
  <c r="I10" i="14"/>
  <c r="M10" i="14"/>
  <c r="F11" i="14"/>
  <c r="K11" i="14"/>
  <c r="O11" i="14"/>
  <c r="O12" i="14"/>
  <c r="I13" i="14"/>
  <c r="I14" i="14"/>
  <c r="M14" i="14"/>
  <c r="I16" i="14"/>
  <c r="G18" i="14"/>
  <c r="M18" i="14"/>
  <c r="H20" i="14"/>
  <c r="E21" i="14"/>
  <c r="K21" i="14"/>
  <c r="F22" i="14"/>
  <c r="O24" i="14"/>
  <c r="L25" i="14"/>
  <c r="I26" i="14"/>
  <c r="G28" i="14"/>
  <c r="M28" i="14"/>
  <c r="H29" i="14"/>
  <c r="E31" i="14"/>
  <c r="K31" i="14"/>
  <c r="F32" i="14"/>
  <c r="O34" i="14"/>
  <c r="L35" i="14"/>
  <c r="I36" i="14"/>
  <c r="M6" i="14"/>
  <c r="K7" i="14"/>
  <c r="O8" i="14"/>
  <c r="G21" i="14"/>
  <c r="H22" i="14"/>
  <c r="E24" i="14"/>
  <c r="F25" i="14"/>
  <c r="G31" i="14"/>
  <c r="O36" i="14"/>
  <c r="L37" i="14"/>
  <c r="E8" i="14"/>
  <c r="L11" i="14"/>
  <c r="O16" i="14"/>
  <c r="L17" i="14"/>
  <c r="I18" i="14"/>
  <c r="M21" i="14"/>
  <c r="K24" i="14"/>
  <c r="O26" i="14"/>
  <c r="L27" i="14"/>
  <c r="I28" i="14"/>
  <c r="M31" i="14"/>
  <c r="H32" i="14"/>
  <c r="E34" i="14"/>
  <c r="K34" i="14"/>
  <c r="F35" i="14"/>
  <c r="E6" i="14"/>
  <c r="H7" i="14"/>
  <c r="M7" i="14"/>
  <c r="F8" i="14"/>
  <c r="K8" i="14"/>
  <c r="F10" i="14"/>
  <c r="K10" i="14"/>
  <c r="O10" i="14"/>
  <c r="I11" i="14"/>
  <c r="M11" i="14"/>
  <c r="H12" i="14"/>
  <c r="M12" i="14"/>
  <c r="F13" i="14"/>
  <c r="K13" i="14"/>
  <c r="F14" i="14"/>
  <c r="K14" i="14"/>
  <c r="O14" i="14"/>
  <c r="E16" i="14"/>
  <c r="K16" i="14"/>
  <c r="F17" i="14"/>
  <c r="O18" i="14"/>
  <c r="L20" i="14"/>
  <c r="I21" i="14"/>
  <c r="G24" i="14"/>
  <c r="M24" i="14"/>
  <c r="H25" i="14"/>
  <c r="E26" i="14"/>
  <c r="K26" i="14"/>
  <c r="F27" i="14"/>
  <c r="L29" i="14"/>
  <c r="M34" i="14"/>
  <c r="H35" i="14"/>
  <c r="K82" i="14"/>
  <c r="K84" i="14"/>
  <c r="K87" i="14"/>
  <c r="K108" i="14"/>
  <c r="K105" i="14"/>
  <c r="K103" i="14"/>
  <c r="K101" i="14"/>
  <c r="K98" i="14"/>
  <c r="K96" i="14"/>
  <c r="K94" i="14"/>
  <c r="K81" i="14"/>
  <c r="K83" i="14"/>
  <c r="K85" i="14"/>
  <c r="K74" i="14"/>
  <c r="K107" i="14"/>
  <c r="K104" i="14"/>
  <c r="K102" i="14"/>
  <c r="K99" i="14"/>
  <c r="K97" i="14"/>
  <c r="K95" i="14"/>
  <c r="K93" i="14"/>
  <c r="K79" i="14"/>
  <c r="K75" i="14"/>
  <c r="K73" i="14"/>
  <c r="K88" i="14"/>
  <c r="K76" i="14"/>
  <c r="K77" i="14"/>
  <c r="K78" i="14"/>
  <c r="O82" i="14"/>
  <c r="O84" i="14"/>
  <c r="O87" i="14"/>
  <c r="O108" i="14"/>
  <c r="O105" i="14"/>
  <c r="O103" i="14"/>
  <c r="O101" i="14"/>
  <c r="O98" i="14"/>
  <c r="O96" i="14"/>
  <c r="O94" i="14"/>
  <c r="O81" i="14"/>
  <c r="O83" i="14"/>
  <c r="O85" i="14"/>
  <c r="O74" i="14"/>
  <c r="O107" i="14"/>
  <c r="O104" i="14"/>
  <c r="O102" i="14"/>
  <c r="O99" i="14"/>
  <c r="O97" i="14"/>
  <c r="O95" i="14"/>
  <c r="O93" i="14"/>
  <c r="O78" i="14"/>
  <c r="O79" i="14"/>
  <c r="O75" i="14"/>
  <c r="O73" i="14"/>
  <c r="O88" i="14"/>
  <c r="O76" i="14"/>
  <c r="O77" i="14"/>
  <c r="I81" i="14"/>
  <c r="I83" i="14"/>
  <c r="I85" i="14"/>
  <c r="I74" i="14"/>
  <c r="I107" i="14"/>
  <c r="I104" i="14"/>
  <c r="I102" i="14"/>
  <c r="I99" i="14"/>
  <c r="I97" i="14"/>
  <c r="I95" i="14"/>
  <c r="I82" i="14"/>
  <c r="I84" i="14"/>
  <c r="I87" i="14"/>
  <c r="I108" i="14"/>
  <c r="I105" i="14"/>
  <c r="I103" i="14"/>
  <c r="I101" i="14"/>
  <c r="I98" i="14"/>
  <c r="I96" i="14"/>
  <c r="I94" i="14"/>
  <c r="I77" i="14"/>
  <c r="I78" i="14"/>
  <c r="I79" i="14"/>
  <c r="I75" i="14"/>
  <c r="I73" i="14"/>
  <c r="I93" i="14"/>
  <c r="I88" i="14"/>
  <c r="I76" i="14"/>
  <c r="G108" i="14"/>
  <c r="G105" i="14"/>
  <c r="G103" i="14"/>
  <c r="G101" i="14"/>
  <c r="G98" i="14"/>
  <c r="G96" i="14"/>
  <c r="G94" i="14"/>
  <c r="G88" i="14"/>
  <c r="G78" i="14"/>
  <c r="G76" i="14"/>
  <c r="G107" i="14"/>
  <c r="G104" i="14"/>
  <c r="G102" i="14"/>
  <c r="G99" i="14"/>
  <c r="G97" i="14"/>
  <c r="G95" i="14"/>
  <c r="G93" i="14"/>
  <c r="G79" i="14"/>
  <c r="G77" i="14"/>
  <c r="G75" i="14"/>
  <c r="G73" i="14"/>
  <c r="G84" i="14"/>
  <c r="G74" i="14"/>
  <c r="G81" i="14"/>
  <c r="G85" i="14"/>
  <c r="G82" i="14"/>
  <c r="G87" i="14"/>
  <c r="G83" i="14"/>
  <c r="F82" i="14"/>
  <c r="F84" i="14"/>
  <c r="F87" i="14"/>
  <c r="F108" i="14"/>
  <c r="F105" i="14"/>
  <c r="F103" i="14"/>
  <c r="F101" i="14"/>
  <c r="F98" i="14"/>
  <c r="F96" i="14"/>
  <c r="F94" i="14"/>
  <c r="F81" i="14"/>
  <c r="F83" i="14"/>
  <c r="F85" i="14"/>
  <c r="F107" i="14"/>
  <c r="F104" i="14"/>
  <c r="F102" i="14"/>
  <c r="F99" i="14"/>
  <c r="F97" i="14"/>
  <c r="F95" i="14"/>
  <c r="F93" i="14"/>
  <c r="F88" i="14"/>
  <c r="F76" i="14"/>
  <c r="F74" i="14"/>
  <c r="F77" i="14"/>
  <c r="F78" i="14"/>
  <c r="F79" i="14"/>
  <c r="F75" i="14"/>
  <c r="F73" i="14"/>
  <c r="E107" i="14"/>
  <c r="E104" i="14"/>
  <c r="E102" i="14"/>
  <c r="E99" i="14"/>
  <c r="E97" i="14"/>
  <c r="E95" i="14"/>
  <c r="E93" i="14"/>
  <c r="E79" i="14"/>
  <c r="E77" i="14"/>
  <c r="E75" i="14"/>
  <c r="E73" i="14"/>
  <c r="E108" i="14"/>
  <c r="E105" i="14"/>
  <c r="E103" i="14"/>
  <c r="E101" i="14"/>
  <c r="E98" i="14"/>
  <c r="E96" i="14"/>
  <c r="E94" i="14"/>
  <c r="E88" i="14"/>
  <c r="E78" i="14"/>
  <c r="E76" i="14"/>
  <c r="E74" i="14"/>
  <c r="E81" i="14"/>
  <c r="E85" i="14"/>
  <c r="E82" i="14"/>
  <c r="E87" i="14"/>
  <c r="E83" i="14"/>
  <c r="E84" i="14"/>
  <c r="K50" i="14"/>
  <c r="K65" i="14"/>
  <c r="K60" i="14"/>
  <c r="K54" i="14"/>
  <c r="K45" i="14"/>
  <c r="K40" i="14"/>
  <c r="K66" i="14"/>
  <c r="K61" i="14"/>
  <c r="K55" i="14"/>
  <c r="K67" i="14"/>
  <c r="K62" i="14"/>
  <c r="K56" i="14"/>
  <c r="K47" i="14"/>
  <c r="K43" i="14"/>
  <c r="K68" i="14"/>
  <c r="K64" i="14"/>
  <c r="K57" i="14"/>
  <c r="K52" i="14"/>
  <c r="K48" i="14"/>
  <c r="K44" i="14"/>
  <c r="K41" i="14"/>
  <c r="K46" i="14"/>
  <c r="O50" i="14"/>
  <c r="O65" i="14"/>
  <c r="O60" i="14"/>
  <c r="O54" i="14"/>
  <c r="O45" i="14"/>
  <c r="O40" i="14"/>
  <c r="O66" i="14"/>
  <c r="O61" i="14"/>
  <c r="O55" i="14"/>
  <c r="O46" i="14"/>
  <c r="O67" i="14"/>
  <c r="O62" i="14"/>
  <c r="O56" i="14"/>
  <c r="O47" i="14"/>
  <c r="O43" i="14"/>
  <c r="O68" i="14"/>
  <c r="O64" i="14"/>
  <c r="O57" i="14"/>
  <c r="O52" i="14"/>
  <c r="O48" i="14"/>
  <c r="O44" i="14"/>
  <c r="O41" i="14"/>
  <c r="I50" i="14"/>
  <c r="I67" i="14"/>
  <c r="I62" i="14"/>
  <c r="I56" i="14"/>
  <c r="I47" i="14"/>
  <c r="I43" i="14"/>
  <c r="I68" i="14"/>
  <c r="I64" i="14"/>
  <c r="I57" i="14"/>
  <c r="I52" i="14"/>
  <c r="I48" i="14"/>
  <c r="I65" i="14"/>
  <c r="I60" i="14"/>
  <c r="I54" i="14"/>
  <c r="I45" i="14"/>
  <c r="I40" i="14"/>
  <c r="I66" i="14"/>
  <c r="I61" i="14"/>
  <c r="I55" i="14"/>
  <c r="I46" i="14"/>
  <c r="I44" i="14"/>
  <c r="I41" i="14"/>
  <c r="G50" i="14"/>
  <c r="G65" i="14"/>
  <c r="G60" i="14"/>
  <c r="G54" i="14"/>
  <c r="G45" i="14"/>
  <c r="G40" i="14"/>
  <c r="G66" i="14"/>
  <c r="G61" i="14"/>
  <c r="G55" i="14"/>
  <c r="G67" i="14"/>
  <c r="G62" i="14"/>
  <c r="G56" i="14"/>
  <c r="G47" i="14"/>
  <c r="G43" i="14"/>
  <c r="G68" i="14"/>
  <c r="G64" i="14"/>
  <c r="G57" i="14"/>
  <c r="G52" i="14"/>
  <c r="G48" i="14"/>
  <c r="G41" i="14"/>
  <c r="G46" i="14"/>
  <c r="G44" i="14"/>
  <c r="F50" i="14"/>
  <c r="F49" i="14" s="1"/>
  <c r="F68" i="14"/>
  <c r="F64" i="14"/>
  <c r="F57" i="14"/>
  <c r="F52" i="14"/>
  <c r="F48" i="14"/>
  <c r="F44" i="14"/>
  <c r="F65" i="14"/>
  <c r="F60" i="14"/>
  <c r="F54" i="14"/>
  <c r="F66" i="14"/>
  <c r="F61" i="14"/>
  <c r="F55" i="14"/>
  <c r="F46" i="14"/>
  <c r="F41" i="14"/>
  <c r="F67" i="14"/>
  <c r="F62" i="14"/>
  <c r="F56" i="14"/>
  <c r="F47" i="14"/>
  <c r="F45" i="14"/>
  <c r="F43" i="14"/>
  <c r="F40" i="14"/>
  <c r="E50" i="14"/>
  <c r="E49" i="14" s="1"/>
  <c r="E67" i="14"/>
  <c r="E62" i="14"/>
  <c r="E56" i="14"/>
  <c r="E47" i="14"/>
  <c r="E43" i="14"/>
  <c r="E68" i="14"/>
  <c r="E64" i="14"/>
  <c r="E57" i="14"/>
  <c r="E52" i="14"/>
  <c r="E48" i="14"/>
  <c r="E65" i="14"/>
  <c r="E60" i="14"/>
  <c r="E54" i="14"/>
  <c r="E45" i="14"/>
  <c r="E40" i="14"/>
  <c r="E66" i="14"/>
  <c r="E61" i="14"/>
  <c r="E55" i="14"/>
  <c r="E44" i="14"/>
  <c r="E41" i="14"/>
  <c r="E46" i="14"/>
  <c r="D50" i="14"/>
  <c r="D49" i="14" s="1"/>
  <c r="D40" i="14"/>
  <c r="H16" i="14"/>
  <c r="L16" i="14"/>
  <c r="E17" i="14"/>
  <c r="I17" i="14"/>
  <c r="M17" i="14"/>
  <c r="F18" i="14"/>
  <c r="G20" i="14"/>
  <c r="K20" i="14"/>
  <c r="O20" i="14"/>
  <c r="H21" i="14"/>
  <c r="L21" i="14"/>
  <c r="E22" i="14"/>
  <c r="I22" i="14"/>
  <c r="M22" i="14"/>
  <c r="F24" i="14"/>
  <c r="G25" i="14"/>
  <c r="K25" i="14"/>
  <c r="O25" i="14"/>
  <c r="H26" i="14"/>
  <c r="L26" i="14"/>
  <c r="E27" i="14"/>
  <c r="I27" i="14"/>
  <c r="M27" i="14"/>
  <c r="F28" i="14"/>
  <c r="G29" i="14"/>
  <c r="K29" i="14"/>
  <c r="O29" i="14"/>
  <c r="H31" i="14"/>
  <c r="L31" i="14"/>
  <c r="E32" i="14"/>
  <c r="I32" i="14"/>
  <c r="M32" i="14"/>
  <c r="F34" i="14"/>
  <c r="G35" i="14"/>
  <c r="K35" i="14"/>
  <c r="O35" i="14"/>
  <c r="E37" i="14"/>
  <c r="I37" i="14"/>
  <c r="L108" i="14"/>
  <c r="L105" i="14"/>
  <c r="L103" i="14"/>
  <c r="L101" i="14"/>
  <c r="L98" i="14"/>
  <c r="L96" i="14"/>
  <c r="L94" i="14"/>
  <c r="L88" i="14"/>
  <c r="L78" i="14"/>
  <c r="L76" i="14"/>
  <c r="L107" i="14"/>
  <c r="L104" i="14"/>
  <c r="L102" i="14"/>
  <c r="L99" i="14"/>
  <c r="L97" i="14"/>
  <c r="L95" i="14"/>
  <c r="L93" i="14"/>
  <c r="L79" i="14"/>
  <c r="L77" i="14"/>
  <c r="L75" i="14"/>
  <c r="L73" i="14"/>
  <c r="L82" i="14"/>
  <c r="L87" i="14"/>
  <c r="L83" i="14"/>
  <c r="L84" i="14"/>
  <c r="L74" i="14"/>
  <c r="L81" i="14"/>
  <c r="L85" i="14"/>
  <c r="M81" i="14"/>
  <c r="M83" i="14"/>
  <c r="M85" i="14"/>
  <c r="M74" i="14"/>
  <c r="M107" i="14"/>
  <c r="M104" i="14"/>
  <c r="M102" i="14"/>
  <c r="M99" i="14"/>
  <c r="M97" i="14"/>
  <c r="M95" i="14"/>
  <c r="M93" i="14"/>
  <c r="M82" i="14"/>
  <c r="M84" i="14"/>
  <c r="M87" i="14"/>
  <c r="M108" i="14"/>
  <c r="M105" i="14"/>
  <c r="M103" i="14"/>
  <c r="M101" i="14"/>
  <c r="M98" i="14"/>
  <c r="M96" i="14"/>
  <c r="M94" i="14"/>
  <c r="M88" i="14"/>
  <c r="M76" i="14"/>
  <c r="M77" i="14"/>
  <c r="M78" i="14"/>
  <c r="M79" i="14"/>
  <c r="M75" i="14"/>
  <c r="M73" i="14"/>
  <c r="L50" i="14"/>
  <c r="L66" i="14"/>
  <c r="L61" i="14"/>
  <c r="L55" i="14"/>
  <c r="L46" i="14"/>
  <c r="L41" i="14"/>
  <c r="L67" i="14"/>
  <c r="L62" i="14"/>
  <c r="L56" i="14"/>
  <c r="L47" i="14"/>
  <c r="L68" i="14"/>
  <c r="L64" i="14"/>
  <c r="L57" i="14"/>
  <c r="L52" i="14"/>
  <c r="L48" i="14"/>
  <c r="L44" i="14"/>
  <c r="L65" i="14"/>
  <c r="L60" i="14"/>
  <c r="L54" i="14"/>
  <c r="L45" i="14"/>
  <c r="L43" i="14"/>
  <c r="L40" i="14"/>
  <c r="M50" i="14"/>
  <c r="M67" i="14"/>
  <c r="M62" i="14"/>
  <c r="M56" i="14"/>
  <c r="M47" i="14"/>
  <c r="M43" i="14"/>
  <c r="M68" i="14"/>
  <c r="M64" i="14"/>
  <c r="M57" i="14"/>
  <c r="M52" i="14"/>
  <c r="M48" i="14"/>
  <c r="M65" i="14"/>
  <c r="M60" i="14"/>
  <c r="M54" i="14"/>
  <c r="M45" i="14"/>
  <c r="M40" i="14"/>
  <c r="M66" i="14"/>
  <c r="M61" i="14"/>
  <c r="M55" i="14"/>
  <c r="M41" i="14"/>
  <c r="M46" i="14"/>
  <c r="M44" i="14"/>
  <c r="H50" i="14"/>
  <c r="H66" i="14"/>
  <c r="H61" i="14"/>
  <c r="H55" i="14"/>
  <c r="H46" i="14"/>
  <c r="H41" i="14"/>
  <c r="H67" i="14"/>
  <c r="H62" i="14"/>
  <c r="H56" i="14"/>
  <c r="H47" i="14"/>
  <c r="H68" i="14"/>
  <c r="H64" i="14"/>
  <c r="H57" i="14"/>
  <c r="H52" i="14"/>
  <c r="H48" i="14"/>
  <c r="H44" i="14"/>
  <c r="H65" i="14"/>
  <c r="H60" i="14"/>
  <c r="H54" i="14"/>
  <c r="H43" i="14"/>
  <c r="H40" i="14"/>
  <c r="H45" i="14"/>
  <c r="F16" i="14"/>
  <c r="G17" i="14"/>
  <c r="K17" i="14"/>
  <c r="O17" i="14"/>
  <c r="H18" i="14"/>
  <c r="L18" i="14"/>
  <c r="E20" i="14"/>
  <c r="I20" i="14"/>
  <c r="M20" i="14"/>
  <c r="F21" i="14"/>
  <c r="G22" i="14"/>
  <c r="K22" i="14"/>
  <c r="O22" i="14"/>
  <c r="H24" i="14"/>
  <c r="L24" i="14"/>
  <c r="E25" i="14"/>
  <c r="I25" i="14"/>
  <c r="M25" i="14"/>
  <c r="F26" i="14"/>
  <c r="G27" i="14"/>
  <c r="K27" i="14"/>
  <c r="O27" i="14"/>
  <c r="H28" i="14"/>
  <c r="L28" i="14"/>
  <c r="E29" i="14"/>
  <c r="I29" i="14"/>
  <c r="M29" i="14"/>
  <c r="F31" i="14"/>
  <c r="G32" i="14"/>
  <c r="K32" i="14"/>
  <c r="O32" i="14"/>
  <c r="H34" i="14"/>
  <c r="L34" i="14"/>
  <c r="E35" i="14"/>
  <c r="I35" i="14"/>
  <c r="M35" i="14"/>
  <c r="F36" i="14"/>
  <c r="G37" i="14"/>
  <c r="K37" i="14"/>
  <c r="O37" i="14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H59" i="14" l="1"/>
  <c r="E86" i="14"/>
  <c r="L59" i="14"/>
  <c r="M86" i="14"/>
  <c r="H63" i="14"/>
  <c r="M59" i="14"/>
  <c r="L86" i="14"/>
  <c r="K59" i="14"/>
  <c r="F86" i="14"/>
  <c r="G86" i="14"/>
  <c r="O86" i="14"/>
  <c r="K86" i="14"/>
  <c r="I59" i="14"/>
  <c r="O59" i="14"/>
  <c r="I86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C77" i="13"/>
  <c r="C43" i="13"/>
  <c r="C41" i="13"/>
  <c r="C7" i="13"/>
  <c r="C5" i="13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L91" i="14"/>
  <c r="P91" i="14"/>
  <c r="P81" i="13" s="1"/>
  <c r="D71" i="14"/>
  <c r="H81" i="13"/>
  <c r="L81" i="13"/>
  <c r="C86" i="14"/>
  <c r="O58" i="14"/>
  <c r="K58" i="14"/>
  <c r="G58" i="14"/>
  <c r="C9" i="14"/>
  <c r="D58" i="14"/>
  <c r="M58" i="14"/>
  <c r="I58" i="14"/>
  <c r="E58" i="14"/>
  <c r="C92" i="14"/>
  <c r="C15" i="14"/>
  <c r="C42" i="14"/>
  <c r="C23" i="14"/>
  <c r="C59" i="14"/>
  <c r="C39" i="14"/>
  <c r="C80" i="14"/>
  <c r="C33" i="14"/>
  <c r="C51" i="14"/>
  <c r="C72" i="14"/>
  <c r="C5" i="14"/>
  <c r="C19" i="14"/>
  <c r="C30" i="14"/>
  <c r="C49" i="14"/>
  <c r="C53" i="14"/>
  <c r="C100" i="14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E9" i="13" l="1"/>
  <c r="C3" i="14"/>
  <c r="C45" i="13"/>
  <c r="C9" i="13" l="1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C72" i="13"/>
  <c r="E98" i="13" l="1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I109" i="13"/>
  <c r="M109" i="13"/>
  <c r="G109" i="13"/>
  <c r="H109" i="13"/>
  <c r="C98" i="13"/>
  <c r="J73" i="13"/>
  <c r="L37" i="13"/>
  <c r="C33" i="13"/>
  <c r="M37" i="13"/>
  <c r="N37" i="13"/>
  <c r="I73" i="13"/>
  <c r="M73" i="13"/>
  <c r="I37" i="13"/>
  <c r="G37" i="13"/>
  <c r="O37" i="13"/>
  <c r="L73" i="13"/>
  <c r="F37" i="13"/>
  <c r="C69" i="13"/>
  <c r="F73" i="13"/>
  <c r="G73" i="13"/>
  <c r="O73" i="13"/>
  <c r="K109" i="13"/>
  <c r="E37" i="13"/>
  <c r="E73" i="13"/>
  <c r="C62" i="13"/>
  <c r="C10" i="13" l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<sst xmlns="http://schemas.openxmlformats.org/spreadsheetml/2006/main" count="3815" uniqueCount="1241">
  <si>
    <t>DONOS</t>
  </si>
  <si>
    <t>IZDACI ZA FINANCIJSKU IMOVINU I OTPLATE ZAJMOVA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</si>
  <si>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</si>
  <si>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</si>
  <si>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</si>
  <si>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</si>
  <si>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</si>
  <si>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</si>
  <si>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</si>
  <si>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</si>
  <si>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</si>
  <si>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</si>
  <si>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</si>
  <si>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</si>
  <si>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</si>
  <si>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</si>
  <si>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</si>
  <si>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</si>
  <si>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</si>
  <si>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</si>
  <si>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</si>
  <si>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</si>
  <si>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</si>
  <si>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</si>
  <si>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</si>
  <si>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</si>
  <si>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</si>
  <si>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</si>
  <si>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</si>
  <si>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</si>
  <si>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</si>
  <si>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</si>
  <si>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</si>
  <si>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</si>
  <si>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</si>
  <si>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</si>
  <si>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</si>
  <si>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</si>
  <si>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</si>
  <si>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</si>
  <si>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</si>
  <si>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</si>
  <si>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</si>
  <si>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</si>
  <si>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</si>
  <si>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</si>
  <si>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</si>
  <si>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</si>
  <si>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</si>
  <si>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</si>
  <si>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</si>
  <si>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</si>
  <si>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</si>
  <si>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</si>
  <si>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</si>
  <si>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</si>
  <si>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</si>
  <si>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</si>
  <si>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</si>
  <si>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</si>
  <si>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</si>
  <si>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</si>
  <si>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</si>
  <si>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</si>
  <si>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</si>
  <si>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</si>
  <si>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</si>
  <si>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</si>
  <si>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</si>
  <si>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</si>
  <si>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</si>
  <si>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</si>
  <si>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</si>
  <si>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</si>
  <si>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</si>
  <si>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</si>
  <si>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</si>
  <si>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</si>
  <si>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</si>
  <si>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</si>
  <si>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</si>
  <si>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</si>
  <si>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</si>
  <si>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</si>
  <si>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</si>
  <si>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</si>
  <si>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</si>
  <si>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</si>
  <si>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</si>
  <si>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</si>
  <si>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</si>
  <si>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</si>
  <si>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</si>
  <si>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</si>
  <si>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</si>
  <si>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</si>
  <si>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</si>
  <si>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</si>
  <si>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</si>
  <si>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</si>
  <si>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</si>
  <si>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</si>
  <si>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</si>
  <si>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</si>
  <si>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</si>
  <si>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</si>
  <si>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</si>
  <si>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</si>
  <si>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</si>
  <si>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</si>
  <si>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</si>
  <si>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</si>
  <si>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</si>
  <si>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</si>
  <si>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</si>
  <si>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</si>
  <si>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</si>
  <si>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</si>
  <si>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</si>
  <si>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</si>
  <si>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</si>
  <si>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</si>
  <si>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</si>
  <si>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</si>
  <si>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</si>
  <si>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</si>
  <si>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</si>
  <si>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</si>
  <si>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</si>
  <si>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</si>
  <si>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</si>
  <si>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</si>
  <si>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</si>
  <si>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</si>
  <si>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</si>
  <si>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</si>
  <si>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</si>
  <si>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</si>
  <si>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</si>
  <si>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</si>
  <si>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</si>
  <si>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</si>
  <si>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</si>
  <si>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</si>
  <si>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</si>
  <si>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</si>
  <si>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</si>
  <si>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</si>
  <si>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</si>
  <si>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</si>
  <si>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</si>
  <si>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</si>
  <si>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</si>
  <si>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</si>
  <si>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</si>
  <si>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</si>
  <si>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</si>
  <si>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</si>
  <si>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</si>
  <si>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</si>
  <si>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</si>
  <si>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</si>
  <si>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</si>
  <si>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</si>
  <si>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</si>
  <si>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</si>
  <si>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</si>
  <si>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</si>
  <si>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</si>
  <si>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</si>
  <si>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</si>
  <si>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</si>
  <si>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</si>
  <si>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</si>
  <si>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</si>
  <si>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</si>
  <si>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</si>
  <si>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</si>
  <si>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</si>
  <si>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</si>
  <si>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</si>
  <si>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</si>
  <si>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</si>
  <si>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</si>
  <si>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</si>
  <si>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</si>
  <si>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</si>
  <si>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</si>
  <si>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</si>
  <si>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</si>
  <si>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</si>
  <si>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</si>
  <si>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</si>
  <si>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</si>
  <si>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</si>
  <si>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</si>
  <si>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</si>
  <si>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</si>
  <si>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</si>
  <si>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</si>
  <si>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</si>
  <si>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</si>
  <si>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</si>
  <si>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</si>
  <si>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</si>
  <si>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</si>
  <si>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</si>
  <si>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</si>
  <si>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</si>
  <si>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</si>
  <si>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</si>
  <si>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</si>
  <si>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</si>
  <si>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</si>
  <si>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</si>
  <si>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</si>
  <si>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</si>
  <si>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</si>
  <si>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</si>
  <si>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</si>
  <si>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</si>
  <si>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</si>
  <si>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</si>
  <si>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</si>
  <si>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</si>
  <si>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</si>
  <si>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</si>
  <si>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</si>
  <si>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</si>
  <si>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</si>
  <si>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</si>
  <si>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</si>
  <si>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</si>
  <si>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</si>
  <si>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</si>
  <si>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</si>
  <si>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</si>
  <si>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</si>
  <si>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</si>
  <si>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</si>
  <si>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</si>
  <si>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</si>
  <si>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</si>
  <si>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</si>
  <si>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</si>
  <si>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</si>
  <si>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</si>
  <si>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</si>
  <si>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</si>
  <si>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</si>
  <si>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</si>
  <si>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</si>
  <si>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</si>
  <si>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</si>
  <si>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</si>
  <si>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</si>
  <si>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</si>
  <si>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</si>
  <si>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</si>
  <si>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</si>
  <si>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</si>
  <si>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</si>
  <si>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</si>
  <si>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</si>
  <si>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</si>
  <si>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</si>
  <si>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</si>
  <si>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</si>
  <si>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</si>
  <si>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</si>
  <si>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</si>
  <si>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</si>
  <si>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</si>
  <si>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</si>
  <si>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</si>
  <si>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</si>
  <si>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</si>
  <si>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</si>
  <si>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</si>
  <si>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</si>
  <si>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</si>
  <si>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</si>
  <si>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</si>
  <si>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</si>
  <si>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</si>
  <si>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</si>
  <si>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</si>
  <si>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</si>
  <si>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</si>
  <si>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</si>
  <si>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</si>
  <si>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</si>
  <si>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</si>
  <si>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</si>
  <si>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</si>
  <si>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</si>
  <si>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</si>
  <si>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</si>
  <si>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</si>
  <si>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</si>
  <si>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</si>
  <si>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</si>
  <si>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</si>
  <si>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</si>
  <si>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</si>
  <si>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</si>
  <si>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</si>
  <si>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</si>
  <si>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</si>
  <si>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</si>
  <si>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</si>
  <si>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</si>
  <si>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</si>
  <si>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</si>
  <si>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</si>
  <si>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</si>
  <si>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</si>
  <si>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</si>
  <si>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</si>
  <si>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</si>
  <si>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</si>
  <si>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</si>
  <si>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</si>
  <si>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</si>
  <si>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</si>
  <si>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</si>
  <si>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</si>
  <si>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</si>
  <si>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</si>
  <si>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</si>
  <si>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</si>
  <si>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</si>
  <si>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</si>
  <si>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</si>
  <si>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</si>
  <si>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</si>
  <si>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</si>
  <si>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</si>
  <si>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</si>
  <si>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</si>
  <si>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</si>
  <si>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</si>
  <si>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</si>
  <si>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</si>
  <si>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</si>
  <si>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</si>
  <si>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</si>
  <si>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</si>
  <si>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</si>
  <si>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</si>
  <si>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</si>
  <si>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</si>
  <si>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</si>
  <si>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</si>
  <si>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</si>
  <si>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</si>
  <si>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</si>
  <si>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</si>
  <si>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</si>
  <si>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</si>
  <si>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PROJEKCIJA PLANA 
UKUPNO za 2021.</t>
  </si>
  <si>
    <t>Izdaci za dane zajmove i depozite</t>
  </si>
  <si>
    <t>Izdaci za otplatu glavnice primljenih kredita i zajmova</t>
  </si>
  <si>
    <t>UKUPNO RASHODI I IZDACI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</si>
  <si>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</si>
  <si>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</si>
  <si>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</si>
  <si>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</si>
  <si>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</si>
  <si>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</si>
  <si>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</si>
  <si>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</si>
  <si>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</si>
  <si>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</si>
  <si>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SVEUČILIŠTE U SPLITU</t>
  </si>
  <si>
    <t>MINISTARSTVO ZNANOSTI I OBRAZOVANJA</t>
  </si>
  <si>
    <t>08008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</si>
  <si>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</si>
  <si>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</si>
  <si>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</si>
  <si>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</si>
  <si>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</si>
  <si>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</si>
  <si>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</si>
  <si>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</si>
  <si>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</si>
  <si>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</si>
  <si>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</si>
  <si>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</si>
  <si>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</si>
  <si>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</si>
  <si>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</si>
  <si>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</si>
  <si>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</si>
  <si>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</si>
  <si>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</si>
  <si>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</si>
  <si>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</si>
  <si>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</si>
  <si>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</si>
  <si>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</si>
  <si>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</si>
  <si>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</si>
  <si>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</si>
  <si>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</si>
  <si>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</si>
  <si>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Kapitalne pomoći temeljem prijenosa EU sredstava​</t>
  </si>
  <si>
    <t>Stavka
(odaberite)</t>
  </si>
  <si>
    <t>OPIS STAVKE</t>
  </si>
  <si>
    <t>IZVOR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</si>
  <si>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</si>
  <si>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</si>
  <si>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</si>
  <si>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</si>
  <si>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</si>
  <si>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</si>
  <si>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</si>
  <si>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</si>
  <si>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</si>
  <si>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</si>
  <si>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</si>
  <si>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</si>
  <si>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</si>
  <si>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</si>
  <si>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</si>
  <si>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</si>
  <si>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</si>
  <si>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</si>
  <si>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</si>
  <si>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</si>
  <si>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</si>
  <si>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</si>
  <si>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</si>
  <si>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</si>
  <si>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</si>
  <si>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</si>
  <si>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</si>
  <si>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</si>
  <si>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</si>
  <si>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</si>
  <si>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</si>
  <si>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</si>
  <si>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</si>
  <si>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</si>
  <si>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</si>
  <si>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</si>
  <si>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</si>
  <si>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</si>
  <si>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</si>
  <si>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</si>
  <si>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</si>
  <si>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</si>
  <si>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</si>
  <si>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</si>
  <si>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</si>
  <si>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</si>
  <si>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</si>
  <si>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</si>
  <si>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</si>
  <si>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</si>
  <si>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</si>
  <si>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</si>
  <si>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</si>
  <si>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</si>
  <si>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</si>
  <si>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</si>
  <si>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</si>
  <si>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</si>
  <si>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</si>
  <si>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</si>
  <si>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</si>
  <si>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</si>
  <si>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</si>
  <si>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</si>
  <si>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</si>
  <si>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</si>
  <si>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</si>
  <si>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</si>
  <si>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</si>
  <si>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</si>
  <si>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</si>
  <si>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</si>
  <si>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</si>
  <si>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</si>
  <si>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</si>
  <si>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</si>
  <si>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</si>
  <si>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</si>
  <si>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</si>
  <si>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</si>
  <si>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</si>
  <si>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</si>
  <si>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</si>
  <si>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</si>
  <si>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</si>
  <si>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</si>
  <si>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</si>
  <si>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</si>
  <si>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</si>
  <si>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</si>
  <si>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</si>
  <si>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</si>
  <si>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</si>
  <si>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</si>
  <si>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</si>
  <si>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</si>
  <si>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</si>
  <si>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</si>
  <si>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</si>
  <si>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</si>
  <si>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</si>
  <si>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</si>
  <si>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</si>
  <si>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</si>
  <si>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</si>
  <si>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</si>
  <si>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</si>
  <si>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</si>
  <si>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</si>
  <si>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</si>
  <si>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</si>
  <si>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</si>
  <si>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</si>
  <si>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</si>
  <si>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</si>
  <si>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</si>
  <si>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</si>
  <si>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</si>
  <si>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</si>
  <si>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</si>
  <si>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</si>
  <si>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</si>
  <si>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</si>
  <si>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</si>
  <si>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</si>
  <si>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</si>
  <si>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</si>
  <si>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</si>
  <si>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</si>
  <si>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</si>
  <si>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</si>
  <si>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</si>
  <si>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</si>
  <si>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</si>
  <si>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</si>
  <si>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</si>
  <si>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</si>
  <si>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</si>
  <si>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</si>
  <si>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</si>
  <si>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</si>
  <si>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</si>
  <si>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</si>
  <si>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</si>
  <si>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</si>
  <si>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</si>
  <si>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</si>
  <si>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</si>
  <si>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</si>
  <si>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</si>
  <si>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</si>
  <si>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</si>
  <si>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</si>
  <si>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</si>
  <si>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</si>
  <si>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</si>
  <si>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</si>
  <si>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</si>
  <si>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</si>
  <si>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</si>
  <si>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</si>
  <si>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</si>
  <si>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</si>
  <si>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</si>
  <si>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</si>
  <si>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</si>
  <si>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</si>
  <si>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</si>
  <si>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</si>
  <si>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</si>
  <si>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</si>
  <si>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</si>
  <si>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</si>
  <si>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</si>
  <si>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</si>
  <si>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</si>
  <si>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</si>
  <si>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</si>
  <si>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</si>
  <si>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</si>
  <si>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</si>
  <si>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</si>
  <si>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</si>
  <si>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</si>
  <si>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</si>
  <si>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</si>
  <si>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</si>
  <si>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</si>
  <si>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</si>
  <si>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</si>
  <si>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</si>
  <si>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</si>
  <si>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</si>
  <si>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</si>
  <si>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</si>
  <si>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</si>
  <si>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</si>
  <si>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</si>
  <si>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</si>
  <si>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</si>
  <si>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</si>
  <si>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</si>
  <si>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</si>
  <si>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</si>
  <si>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</si>
  <si>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</si>
  <si>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</si>
  <si>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</si>
  <si>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</si>
  <si>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</si>
  <si>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</si>
  <si>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</si>
  <si>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</si>
  <si>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</si>
  <si>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</si>
  <si>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</si>
  <si>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</si>
  <si>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</si>
  <si>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</si>
  <si>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</si>
  <si>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</si>
  <si>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</si>
  <si>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</si>
  <si>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</si>
  <si>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</si>
  <si>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</si>
  <si>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</si>
  <si>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</si>
  <si>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</si>
  <si>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</si>
  <si>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</si>
  <si>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</si>
  <si>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</si>
  <si>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</si>
  <si>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</si>
  <si>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</si>
  <si>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</si>
  <si>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</si>
  <si>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</si>
  <si>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</si>
  <si>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</si>
  <si>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</si>
  <si>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</si>
  <si>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</si>
  <si>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</si>
  <si>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</si>
  <si>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</si>
  <si>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</si>
  <si>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</si>
  <si>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</si>
  <si>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</si>
  <si>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</si>
  <si>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</si>
  <si>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</si>
  <si>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</si>
  <si>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</si>
  <si>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</si>
  <si>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</si>
  <si>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</si>
  <si>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</si>
  <si>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</si>
  <si>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</si>
  <si>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</si>
  <si>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</si>
  <si>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</si>
  <si>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</si>
  <si>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</si>
  <si>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</si>
  <si>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</si>
  <si>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</si>
  <si>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</si>
  <si>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</si>
  <si>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</si>
  <si>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</si>
  <si>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</si>
  <si>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</si>
  <si>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</si>
  <si>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</si>
  <si>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</si>
  <si>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</si>
  <si>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</si>
  <si>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</si>
  <si>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</si>
  <si>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</si>
  <si>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</si>
  <si>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</si>
  <si>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</si>
  <si>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</si>
  <si>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</si>
  <si>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</si>
  <si>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</si>
  <si>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</si>
  <si>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</si>
  <si>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</si>
  <si>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</si>
  <si>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</si>
  <si>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</si>
  <si>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</si>
  <si>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</si>
  <si>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</si>
  <si>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</si>
  <si>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</si>
  <si>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</si>
  <si>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</si>
  <si>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</si>
  <si>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</si>
  <si>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</si>
  <si>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</si>
  <si>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</si>
  <si>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</si>
  <si>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</si>
  <si>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</si>
  <si>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</si>
  <si>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</si>
  <si>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</si>
  <si>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</si>
  <si>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</si>
  <si>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</si>
  <si>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</si>
  <si>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</si>
  <si>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</si>
  <si>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</si>
  <si>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</si>
  <si>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</si>
  <si>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</si>
  <si>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</si>
  <si>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</si>
  <si>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</si>
  <si>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</si>
  <si>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</si>
  <si>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</si>
  <si>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</si>
  <si>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</si>
  <si>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</si>
  <si>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</si>
  <si>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</si>
  <si>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</si>
  <si>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</si>
  <si>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</si>
  <si>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</si>
  <si>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</si>
  <si>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</si>
  <si>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</si>
  <si>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</si>
  <si>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</si>
  <si>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</si>
  <si>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</si>
  <si>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</si>
  <si>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</si>
  <si>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</si>
  <si>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</si>
  <si>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</si>
  <si>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</si>
  <si>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</si>
  <si>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</si>
  <si>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</si>
  <si>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</si>
  <si>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</si>
  <si>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</si>
  <si>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</si>
  <si>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</si>
  <si>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</si>
  <si>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</si>
  <si>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</si>
  <si>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</si>
  <si>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</si>
  <si>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</si>
  <si>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</si>
  <si>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</si>
  <si>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</si>
  <si>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</si>
  <si>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</si>
  <si>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</si>
  <si>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</si>
  <si>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</si>
  <si>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</si>
  <si>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</si>
  <si>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</si>
  <si>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</si>
  <si>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</si>
  <si>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</si>
  <si>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</si>
  <si>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</si>
  <si>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</si>
  <si>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</si>
  <si>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</si>
  <si>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</si>
  <si>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</si>
  <si>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</si>
  <si>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</si>
  <si>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</si>
  <si>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</si>
  <si>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</si>
  <si>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</si>
  <si>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</si>
  <si>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</si>
  <si>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</si>
  <si>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</si>
  <si>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</si>
  <si>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</si>
  <si>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</si>
  <si>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</si>
  <si>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</si>
  <si>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</si>
  <si>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</si>
  <si>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</si>
  <si>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</si>
  <si>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</si>
  <si>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</si>
  <si>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</si>
  <si>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</si>
  <si>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</si>
  <si>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</si>
  <si>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</si>
  <si>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</si>
  <si>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</si>
  <si>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</si>
  <si>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</si>
  <si>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</si>
  <si>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</si>
  <si>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</si>
  <si>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</si>
  <si>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</si>
  <si>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</si>
  <si>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</si>
  <si>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</si>
  <si>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</si>
  <si>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</si>
  <si>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</si>
  <si>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</si>
  <si>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</si>
  <si>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</si>
  <si>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</si>
  <si>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</si>
  <si>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</si>
  <si>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</si>
  <si>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</si>
  <si>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</si>
  <si>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</si>
  <si>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</si>
  <si>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</si>
  <si>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</si>
  <si>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</si>
  <si>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</si>
  <si>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</si>
  <si>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</si>
  <si>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</si>
  <si>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</si>
  <si>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</si>
  <si>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</si>
  <si>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</si>
  <si>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</si>
  <si>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</si>
  <si>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</si>
  <si>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</si>
  <si>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</si>
  <si>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</si>
  <si>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</si>
  <si>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</si>
  <si>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</si>
  <si>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</si>
  <si>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</si>
  <si>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</si>
  <si>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</si>
  <si>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</si>
  <si>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</si>
  <si>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</si>
  <si>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</si>
  <si>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</si>
  <si>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</si>
  <si>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</si>
  <si>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</si>
  <si>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</si>
  <si>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</si>
  <si>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</si>
  <si>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</si>
  <si>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</si>
  <si>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</si>
  <si>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</si>
  <si>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</si>
  <si>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</si>
  <si>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</si>
  <si>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</si>
  <si>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</si>
  <si>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</si>
  <si>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</si>
  <si>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</si>
  <si>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</si>
  <si>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</si>
  <si>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</si>
  <si>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</si>
  <si>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</si>
  <si>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</si>
  <si>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</si>
  <si>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</si>
  <si>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</si>
  <si>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</si>
  <si>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</si>
  <si>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</si>
  <si>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</si>
  <si>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</si>
  <si>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</si>
  <si>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</si>
  <si>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</si>
  <si>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</si>
  <si>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</si>
  <si>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</si>
  <si>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</si>
  <si>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</si>
  <si>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</si>
  <si>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</si>
  <si>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</si>
  <si>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</si>
  <si>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</si>
  <si>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</si>
  <si>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</si>
  <si>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</si>
  <si>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</si>
  <si>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</si>
  <si>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</si>
  <si>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</si>
  <si>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</si>
  <si>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</si>
  <si>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</si>
  <si>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</si>
  <si>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</si>
  <si>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</si>
  <si>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</si>
  <si>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</si>
  <si>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</si>
  <si>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</si>
  <si>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</si>
  <si>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</si>
  <si>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</si>
  <si>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</si>
  <si>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</si>
  <si>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</si>
  <si>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</si>
  <si>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</si>
  <si>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</si>
  <si>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</si>
  <si>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</si>
  <si>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</si>
  <si>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</si>
  <si>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</si>
  <si>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</si>
  <si>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</si>
  <si>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</si>
  <si>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</si>
  <si>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</si>
  <si>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</si>
  <si>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</si>
  <si>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</si>
  <si>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</si>
  <si>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</si>
  <si>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</si>
  <si>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</si>
  <si>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</si>
  <si>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</si>
  <si>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</si>
  <si>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</si>
  <si>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</si>
  <si>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</si>
  <si>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</si>
  <si>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</si>
  <si>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</si>
  <si>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</si>
  <si>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</si>
  <si>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</si>
  <si>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</si>
  <si>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</si>
  <si>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</si>
  <si>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</si>
  <si>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</si>
  <si>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</si>
  <si>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</si>
  <si>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</si>
  <si>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</si>
  <si>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</si>
  <si>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</si>
  <si>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</si>
  <si>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</si>
  <si>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</si>
  <si>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</si>
  <si>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</si>
  <si>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</si>
  <si>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</si>
  <si>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</si>
  <si>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</si>
  <si>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</si>
  <si>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</si>
  <si>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</si>
  <si>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</si>
  <si>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</si>
  <si>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</si>
  <si>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</si>
  <si>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</si>
  <si>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</si>
  <si>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</si>
  <si>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</si>
  <si>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</si>
  <si>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</si>
  <si>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</si>
  <si>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</si>
  <si>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</si>
  <si>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</si>
  <si>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</si>
  <si>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</si>
  <si>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</si>
  <si>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</si>
  <si>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</si>
  <si>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</si>
  <si>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</si>
  <si>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</si>
  <si>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</si>
  <si>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</si>
  <si>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</si>
  <si>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</si>
  <si>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</si>
  <si>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</si>
  <si>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</si>
  <si>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</si>
  <si>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</si>
  <si>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</si>
  <si>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</si>
  <si>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</si>
  <si>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</si>
  <si>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</si>
  <si>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</si>
  <si>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</si>
  <si>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</si>
  <si>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</si>
  <si>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</si>
  <si>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</si>
  <si>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</si>
  <si>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</si>
  <si>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</si>
  <si>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</si>
  <si>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</si>
  <si>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</si>
  <si>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</si>
  <si>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</si>
  <si>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</si>
  <si>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</si>
  <si>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</si>
  <si>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</si>
  <si>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</si>
  <si>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</si>
  <si>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</si>
  <si>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</si>
  <si>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</si>
  <si>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</si>
  <si>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</si>
  <si>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</si>
  <si>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</si>
  <si>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</si>
  <si>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</si>
  <si>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</si>
  <si>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</si>
  <si>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</si>
  <si>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</si>
  <si>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</si>
  <si>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</si>
  <si>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</si>
  <si>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</si>
  <si>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</si>
  <si>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</si>
  <si>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</si>
  <si>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</si>
  <si>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</si>
  <si>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</si>
  <si>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</si>
  <si>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</si>
  <si>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</si>
  <si>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</si>
  <si>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</si>
  <si>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</si>
  <si>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</si>
  <si>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</si>
  <si>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</si>
  <si>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</si>
  <si>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</si>
  <si>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</si>
  <si>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</si>
  <si>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</si>
  <si>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</si>
  <si>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</si>
  <si>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</si>
  <si>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</si>
  <si>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</si>
  <si>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</si>
  <si>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</si>
  <si>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</si>
  <si>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</si>
  <si>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</si>
  <si>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</si>
  <si>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</si>
  <si>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</si>
  <si>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</si>
  <si>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</si>
  <si>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</si>
  <si>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</si>
  <si>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</si>
  <si>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</si>
  <si>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</si>
  <si>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</si>
  <si>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</si>
  <si>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</si>
  <si>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</si>
  <si>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</si>
  <si>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</si>
  <si>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</si>
  <si>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</si>
  <si>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</si>
  <si>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</si>
  <si>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</si>
  <si>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</si>
  <si>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</si>
  <si>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</si>
  <si>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</si>
  <si>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</si>
  <si>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</si>
  <si>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</si>
  <si>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</si>
  <si>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</si>
  <si>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</si>
  <si>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</si>
  <si>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</si>
  <si>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</si>
  <si>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</si>
  <si>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</si>
  <si>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</si>
  <si>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</si>
  <si>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</si>
  <si>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</si>
  <si>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</si>
  <si>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</si>
  <si>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</si>
  <si>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</si>
  <si>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</si>
  <si>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</si>
  <si>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</si>
  <si>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</si>
  <si>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</si>
  <si>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</si>
  <si>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</si>
  <si>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</si>
  <si>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</si>
  <si>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</si>
  <si>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</si>
  <si>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</si>
  <si>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</si>
  <si>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</si>
  <si>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</si>
  <si>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</si>
  <si>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</si>
  <si>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</si>
  <si>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</si>
  <si>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</si>
  <si>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</si>
  <si>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</si>
  <si>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</si>
  <si>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</si>
  <si>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</si>
  <si>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</si>
  <si>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</si>
  <si>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</si>
  <si>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</si>
  <si>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</si>
  <si>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</si>
  <si>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</si>
  <si>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</si>
  <si>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</si>
  <si>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</si>
  <si>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</si>
  <si>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</si>
  <si>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</si>
  <si>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</si>
  <si>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</si>
  <si>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</si>
  <si>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</si>
  <si>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</si>
  <si>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</si>
  <si>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</si>
  <si>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</si>
  <si>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</si>
  <si>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</si>
  <si>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</si>
  <si>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</si>
  <si>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</si>
  <si>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</si>
  <si>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</si>
  <si>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</si>
  <si>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</si>
  <si>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</si>
  <si>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</si>
  <si>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</si>
  <si>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</si>
  <si>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</si>
  <si>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</si>
  <si>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</si>
  <si>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</si>
  <si>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</si>
  <si>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</si>
  <si>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</si>
  <si>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</si>
  <si>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</si>
  <si>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</si>
  <si>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</si>
  <si>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</si>
  <si>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</si>
  <si>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</si>
  <si>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</si>
  <si>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</si>
  <si>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</si>
  <si>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PRIJEDLOG PLANA 
UKUPNO za 2020.</t>
  </si>
  <si>
    <t>PROJEKCIJA PLANA 
UKUPNO za 2022.</t>
  </si>
  <si>
    <t>Prijedlog plana za 2020.</t>
  </si>
  <si>
    <t>Projekcija plana za 2021.</t>
  </si>
  <si>
    <t>Projekcija plana za 2022.</t>
  </si>
  <si>
    <t>2018.</t>
  </si>
  <si>
    <t>Agencija za mobilnost i projekte EU</t>
  </si>
  <si>
    <t>Program Erasmus +-ključna aktivnost 1 za područje visokog obrazovanja za projekte mobilnosti između programskih zemalja (KA103)</t>
  </si>
  <si>
    <t>Program Erasmus +-ključna aktivnost 1 za područje visokog obrazovanja za projekte mobilnosti između programskih zemalja (KA107)</t>
  </si>
  <si>
    <t>2019.</t>
  </si>
  <si>
    <t>2017.</t>
  </si>
  <si>
    <t>ministarstvo</t>
  </si>
  <si>
    <t>ZCI za personaliziranu brigu o zdravlju</t>
  </si>
  <si>
    <t>2016.</t>
  </si>
  <si>
    <t xml:space="preserve">Modernizacija, unapređenje  i proširenje infrastrukture studentskog smještaja za studente u nepovoljnom položaju </t>
  </si>
  <si>
    <t>ministarstvo-odlukaMZO od 25.07..2018.-Klasa:910-08/16-01/00332;Urbroj:533-04-18-0005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</si>
</sst>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_-;\-* #,##0.00_-;_-* &quot;-&quot;??_-;_-@_-"/>
    <numFmt numFmtId="165" formatCode="dd/mm/yy/;@"/>
    <numFmt numFmtId="166" formatCode="#,##0_ ;\-#,##0\ "/>
    <numFmt numFmtId="169" formatCode="&quot;- &quot;@"/>
    <numFmt numFmtId="170" formatCode="&quot;+ &quot;@"/>
  </numFmts>
  <fonts count="63">
    <font>
      <sz val="11"/>
      <color theme="1"/>
      <name val="Calibri"/>
      <family val="2"/>
      <charset val="238"/>
      <scheme val="minor"/>
    </font>
    <font>
      <sz val="10"/>
      <color indexed="8"/>
      <name val="Open Sans"/>
      <family val="2"/>
      <charset val="238"/>
    </font>
    <font>
      <b/>
      <sz val="10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sz val="10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  <family val="2"/>
      <charset val="238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  <font>
      <sz val="9"/>
      <color rgb="FF00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9"/>
      <color rgb="FF00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</font>
    <font>
      <b/>
      <sz val="10"/>
      <color rgb="FFFFC000"/>
      <name val="Arial"/>
      <family val="2"/>
      <charset val="238"/>
    </font>
  </fonts>
  <fills count="5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</fills>
  <borders count="45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76">
    <xf numFmtId="0" fontId="0" fillId="0" borderId="0"/>
    <xf numFmtId="164" fontId="15" fillId="0" borderId="0" applyFont="0" applyFill="0" applyBorder="0" applyAlignment="0" applyProtection="0"/>
    <xf numFmtId="0" fontId="6" fillId="0" borderId="0"/>
    <xf numFmtId="0" fontId="14" fillId="0" borderId="0"/>
    <xf numFmtId="0" fontId="32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5" fillId="4" borderId="1" applyNumberFormat="0" applyProtection="0">
      <alignment vertical="center"/>
    </xf>
    <xf numFmtId="4" fontId="5" fillId="6" borderId="1" applyNumberFormat="0" applyProtection="0">
      <alignment horizontal="left" vertical="center" indent="1" justifyLastLine="1"/>
    </xf>
    <xf numFmtId="4" fontId="5" fillId="5" borderId="1" applyNumberFormat="0" applyProtection="0">
      <alignment horizontal="left" vertical="center" indent="1" justifyLastLine="1"/>
    </xf>
    <xf numFmtId="4" fontId="5" fillId="7" borderId="1" applyNumberFormat="0" applyProtection="0">
      <alignment horizontal="right" vertical="center"/>
    </xf>
    <xf numFmtId="0" fontId="5" fillId="3" borderId="1" applyNumberFormat="0" applyProtection="0">
      <alignment horizontal="left" vertical="center" indent="1" justifyLastLine="1"/>
    </xf>
    <xf numFmtId="0" fontId="5" fillId="8" borderId="1" applyNumberFormat="0" applyProtection="0">
      <alignment horizontal="left" vertical="center" indent="1" justifyLastLine="1"/>
    </xf>
    <xf numFmtId="0" fontId="5" fillId="2" borderId="1" applyNumberFormat="0" applyProtection="0">
      <alignment horizontal="left" vertical="center" indent="1" justifyLastLine="1"/>
    </xf>
    <xf numFmtId="0" fontId="5" fillId="9" borderId="1" applyNumberFormat="0" applyProtection="0">
      <alignment horizontal="left" vertical="center" indent="1" justifyLastLine="1"/>
    </xf>
    <xf numFmtId="0" fontId="22" fillId="10" borderId="2" applyBorder="0"/>
    <xf numFmtId="4" fontId="5" fillId="0" borderId="1" applyNumberFormat="0" applyProtection="0">
      <alignment horizontal="right" vertical="center"/>
    </xf>
    <xf numFmtId="4" fontId="5" fillId="5" borderId="1" applyNumberFormat="0" applyProtection="0">
      <alignment horizontal="left" vertical="center" indent="1" justifyLastLine="1"/>
    </xf>
    <xf numFmtId="0" fontId="33" fillId="20" borderId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39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39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39" fillId="32" borderId="0" applyNumberFormat="0" applyBorder="0" applyAlignment="0" applyProtection="0"/>
    <xf numFmtId="0" fontId="40" fillId="27" borderId="0" applyNumberFormat="0" applyBorder="0" applyAlignment="0" applyProtection="0"/>
    <xf numFmtId="0" fontId="40" fillId="33" borderId="0" applyNumberFormat="0" applyBorder="0" applyAlignment="0" applyProtection="0"/>
    <xf numFmtId="0" fontId="39" fillId="28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39" fillId="26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39" fillId="37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4" fontId="43" fillId="6" borderId="1" applyNumberFormat="0" applyProtection="0">
      <alignment vertical="center"/>
    </xf>
    <xf numFmtId="0" fontId="36" fillId="4" borderId="37" applyNumberFormat="0" applyProtection="0">
      <alignment horizontal="left" vertical="top" indent="1"/>
    </xf>
    <xf numFmtId="4" fontId="5" fillId="41" borderId="1" applyNumberFormat="0" applyProtection="0">
      <alignment horizontal="right" vertical="center"/>
    </xf>
    <xf numFmtId="4" fontId="5" fillId="42" borderId="1" applyNumberFormat="0" applyProtection="0">
      <alignment horizontal="right" vertical="center"/>
    </xf>
    <xf numFmtId="4" fontId="5" fillId="43" borderId="3" applyNumberFormat="0" applyProtection="0">
      <alignment horizontal="right" vertical="center"/>
    </xf>
    <xf numFmtId="4" fontId="5" fillId="23" borderId="1" applyNumberFormat="0" applyProtection="0">
      <alignment horizontal="right" vertical="center"/>
    </xf>
    <xf numFmtId="4" fontId="5" fillId="44" borderId="1" applyNumberFormat="0" applyProtection="0">
      <alignment horizontal="right" vertical="center"/>
    </xf>
    <xf numFmtId="4" fontId="5" fillId="45" borderId="1" applyNumberFormat="0" applyProtection="0">
      <alignment horizontal="right" vertical="center"/>
    </xf>
    <xf numFmtId="4" fontId="5" fillId="22" borderId="1" applyNumberFormat="0" applyProtection="0">
      <alignment horizontal="right" vertical="center"/>
    </xf>
    <xf numFmtId="4" fontId="5" fillId="21" borderId="1" applyNumberFormat="0" applyProtection="0">
      <alignment horizontal="right" vertical="center"/>
    </xf>
    <xf numFmtId="4" fontId="5" fillId="46" borderId="1" applyNumberFormat="0" applyProtection="0">
      <alignment horizontal="right" vertical="center"/>
    </xf>
    <xf numFmtId="4" fontId="5" fillId="47" borderId="3" applyNumberFormat="0" applyProtection="0">
      <alignment horizontal="left" vertical="center" indent="1" justifyLastLine="1"/>
    </xf>
    <xf numFmtId="4" fontId="35" fillId="10" borderId="3" applyNumberFormat="0" applyProtection="0">
      <alignment horizontal="left" vertical="center" indent="1" justifyLastLine="1"/>
    </xf>
    <xf numFmtId="4" fontId="35" fillId="10" borderId="3" applyNumberFormat="0" applyProtection="0">
      <alignment horizontal="left" vertical="center" indent="1" justifyLastLine="1"/>
    </xf>
    <xf numFmtId="4" fontId="5" fillId="9" borderId="3" applyNumberFormat="0" applyProtection="0">
      <alignment horizontal="left" vertical="center" indent="1" justifyLastLine="1"/>
    </xf>
    <xf numFmtId="4" fontId="5" fillId="7" borderId="3" applyNumberFormat="0" applyProtection="0">
      <alignment horizontal="left" vertical="center" indent="1" justifyLastLine="1"/>
    </xf>
    <xf numFmtId="0" fontId="5" fillId="10" borderId="37" applyNumberFormat="0" applyProtection="0">
      <alignment horizontal="left" vertical="top" indent="1"/>
    </xf>
    <xf numFmtId="0" fontId="5" fillId="7" borderId="37" applyNumberFormat="0" applyProtection="0">
      <alignment horizontal="left" vertical="top" indent="1"/>
    </xf>
    <xf numFmtId="0" fontId="5" fillId="2" borderId="37" applyNumberFormat="0" applyProtection="0">
      <alignment horizontal="left" vertical="top" indent="1"/>
    </xf>
    <xf numFmtId="0" fontId="5" fillId="9" borderId="37" applyNumberFormat="0" applyProtection="0">
      <alignment horizontal="left" vertical="top" indent="1"/>
    </xf>
    <xf numFmtId="0" fontId="5" fillId="48" borderId="38" applyNumberFormat="0">
      <protection locked="0"/>
    </xf>
    <xf numFmtId="4" fontId="34" fillId="49" borderId="37" applyNumberFormat="0" applyProtection="0">
      <alignment vertical="center"/>
    </xf>
    <xf numFmtId="4" fontId="44" fillId="0" borderId="12" applyNumberFormat="0" applyProtection="0">
      <alignment vertical="center"/>
    </xf>
    <xf numFmtId="4" fontId="34" fillId="3" borderId="37" applyNumberFormat="0" applyProtection="0">
      <alignment horizontal="left" vertical="center" indent="1"/>
    </xf>
    <xf numFmtId="0" fontId="34" fillId="49" borderId="37" applyNumberFormat="0" applyProtection="0">
      <alignment horizontal="left" vertical="top" indent="1"/>
    </xf>
    <xf numFmtId="4" fontId="43" fillId="15" borderId="1" applyNumberFormat="0" applyProtection="0">
      <alignment horizontal="right" vertical="center"/>
    </xf>
    <xf numFmtId="0" fontId="34" fillId="7" borderId="37" applyNumberFormat="0" applyProtection="0">
      <alignment horizontal="left" vertical="top" indent="1"/>
    </xf>
    <xf numFmtId="4" fontId="37" fillId="50" borderId="3" applyNumberFormat="0" applyProtection="0">
      <alignment horizontal="left" vertical="center" indent="1" justifyLastLine="1"/>
    </xf>
    <xf numFmtId="0" fontId="44" fillId="0" borderId="12"/>
    <xf numFmtId="4" fontId="38" fillId="48" borderId="1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6" fillId="0" borderId="0"/>
    <xf numFmtId="4" fontId="5" fillId="5" borderId="1" applyNumberFormat="0" applyProtection="0">
      <alignment horizontal="left" vertical="center" indent="1" justifyLastLine="1"/>
    </xf>
    <xf numFmtId="4" fontId="5" fillId="0" borderId="1" applyNumberFormat="0" applyProtection="0">
      <alignment horizontal="right" vertical="center"/>
    </xf>
  </cellStyleXfs>
  <cellXfs count="252">
    <xf numFmtId="0" fontId="0" fillId="0" borderId="0" xfId="0"/>
    <xf numFmtId="0" fontId="7" fillId="0" borderId="0" xfId="2" applyNumberFormat="1" applyFont="1" applyFill="1" applyBorder="1" applyAlignment="1" applyProtection="1">
      <alignment vertical="center"/>
    </xf>
    <xf numFmtId="0" fontId="8" fillId="12" borderId="4" xfId="2" applyNumberFormat="1" applyFont="1" applyFill="1" applyBorder="1" applyAlignment="1" applyProtection="1">
      <alignment horizontal="center" vertical="center" wrapText="1"/>
    </xf>
    <xf numFmtId="3" fontId="7" fillId="0" borderId="5" xfId="2" applyNumberFormat="1" applyFont="1" applyFill="1" applyBorder="1" applyAlignment="1" applyProtection="1">
      <alignment vertical="center"/>
      <protection locked="0"/>
    </xf>
    <xf numFmtId="3" fontId="11" fillId="13" borderId="5" xfId="2" applyNumberFormat="1" applyFont="1" applyFill="1" applyBorder="1" applyAlignment="1" applyProtection="1">
      <alignment vertical="center"/>
    </xf>
    <xf numFmtId="0" fontId="13" fillId="0" borderId="0" xfId="2" applyNumberFormat="1" applyFont="1" applyFill="1" applyBorder="1" applyAlignment="1" applyProtection="1">
      <alignment vertical="center"/>
    </xf>
    <xf numFmtId="0" fontId="16" fillId="0" borderId="1" xfId="19" quotePrefix="1" applyNumberFormat="1" applyFont="1" applyFill="1">
      <alignment horizontal="left" vertical="center" indent="1" justifyLastLine="1"/>
    </xf>
    <xf numFmtId="0" fontId="18" fillId="0" borderId="1" xfId="0" applyFont="1" applyBorder="1"/>
    <xf numFmtId="4" fontId="0" fillId="0" borderId="0" xfId="0" applyNumberFormat="1"/>
    <xf numFmtId="0" fontId="13" fillId="0" borderId="5" xfId="2" applyNumberFormat="1" applyFont="1" applyFill="1" applyBorder="1" applyAlignment="1" applyProtection="1">
      <alignment vertical="center"/>
    </xf>
    <xf numFmtId="0" fontId="12" fillId="0" borderId="0" xfId="2" applyNumberFormat="1" applyFont="1" applyFill="1" applyBorder="1" applyAlignment="1" applyProtection="1">
      <alignment vertical="center"/>
    </xf>
    <xf numFmtId="3" fontId="10" fillId="15" borderId="5" xfId="2" applyNumberFormat="1" applyFont="1" applyFill="1" applyBorder="1" applyAlignment="1" applyProtection="1">
      <alignment horizontal="center" vertical="center"/>
    </xf>
    <xf numFmtId="3" fontId="10" fillId="15" borderId="5" xfId="2" applyNumberFormat="1" applyFont="1" applyFill="1" applyBorder="1" applyAlignment="1" applyProtection="1">
      <alignment vertical="center" wrapText="1"/>
    </xf>
    <xf numFmtId="3" fontId="10" fillId="13" borderId="5" xfId="2" applyNumberFormat="1" applyFont="1" applyFill="1" applyBorder="1" applyAlignment="1" applyProtection="1">
      <alignment vertical="center"/>
    </xf>
    <xf numFmtId="0" fontId="10" fillId="0" borderId="0" xfId="2" applyNumberFormat="1" applyFont="1" applyFill="1" applyBorder="1" applyAlignment="1" applyProtection="1">
      <alignment vertical="center"/>
    </xf>
    <xf numFmtId="3" fontId="13" fillId="13" borderId="5" xfId="2" applyNumberFormat="1" applyFont="1" applyFill="1" applyBorder="1" applyAlignment="1" applyProtection="1">
      <alignment vertical="center"/>
    </xf>
    <xf numFmtId="0" fontId="11" fillId="0" borderId="5" xfId="2" applyNumberFormat="1" applyFont="1" applyFill="1" applyBorder="1" applyAlignment="1" applyProtection="1">
      <alignment vertical="center"/>
    </xf>
    <xf numFmtId="0" fontId="11" fillId="16" borderId="0" xfId="2" applyNumberFormat="1" applyFont="1" applyFill="1" applyBorder="1" applyAlignment="1" applyProtection="1">
      <alignment horizontal="right" vertical="center"/>
    </xf>
    <xf numFmtId="0" fontId="13" fillId="16" borderId="0" xfId="2" applyNumberFormat="1" applyFont="1" applyFill="1" applyBorder="1" applyAlignment="1" applyProtection="1">
      <alignment horizontal="right" vertical="center"/>
    </xf>
    <xf numFmtId="0" fontId="10" fillId="0" borderId="5" xfId="2" applyNumberFormat="1" applyFont="1" applyFill="1" applyBorder="1" applyAlignment="1" applyProtection="1">
      <alignment vertical="center"/>
    </xf>
    <xf numFmtId="0" fontId="12" fillId="0" borderId="5" xfId="2" applyNumberFormat="1" applyFont="1" applyFill="1" applyBorder="1" applyAlignment="1" applyProtection="1">
      <alignment vertical="center"/>
    </xf>
    <xf numFmtId="0" fontId="11" fillId="16" borderId="0" xfId="2" applyNumberFormat="1" applyFont="1" applyFill="1" applyBorder="1" applyAlignment="1" applyProtection="1">
      <alignment vertical="center"/>
    </xf>
    <xf numFmtId="0" fontId="13" fillId="16" borderId="0" xfId="2" applyNumberFormat="1" applyFont="1" applyFill="1" applyBorder="1" applyAlignment="1" applyProtection="1">
      <alignment vertical="center"/>
    </xf>
    <xf numFmtId="0" fontId="2" fillId="6" borderId="0" xfId="2" applyNumberFormat="1" applyFont="1" applyFill="1" applyBorder="1" applyAlignment="1" applyProtection="1">
      <alignment vertical="center"/>
    </xf>
    <xf numFmtId="0" fontId="13" fillId="15" borderId="0" xfId="2" applyNumberFormat="1" applyFont="1" applyFill="1" applyBorder="1" applyAlignment="1" applyProtection="1">
      <alignment horizontal="center" vertical="center"/>
    </xf>
    <xf numFmtId="0" fontId="7" fillId="15" borderId="0" xfId="2" applyNumberFormat="1" applyFont="1" applyFill="1" applyBorder="1" applyAlignment="1" applyProtection="1">
      <alignment vertical="center" wrapText="1"/>
    </xf>
    <xf numFmtId="0" fontId="7" fillId="15" borderId="0" xfId="2" applyNumberFormat="1" applyFont="1" applyFill="1" applyBorder="1" applyAlignment="1" applyProtection="1">
      <alignment vertical="center"/>
    </xf>
    <xf numFmtId="0" fontId="19" fillId="0" borderId="0" xfId="0" applyFont="1"/>
    <xf numFmtId="0" fontId="20" fillId="0" borderId="0" xfId="0" applyFont="1" applyBorder="1" applyAlignment="1">
      <alignment horizontal="left"/>
    </xf>
    <xf numFmtId="0" fontId="0" fillId="0" borderId="0" xfId="0" applyBorder="1"/>
    <xf numFmtId="0" fontId="0" fillId="0" borderId="6" xfId="0" applyFill="1" applyBorder="1"/>
    <xf numFmtId="0" fontId="0" fillId="0" borderId="7" xfId="0" applyFill="1" applyBorder="1"/>
    <xf numFmtId="0" fontId="0" fillId="0" borderId="8" xfId="0" applyFill="1" applyBorder="1"/>
    <xf numFmtId="0" fontId="0" fillId="0" borderId="10" xfId="0" applyFill="1" applyBorder="1"/>
    <xf numFmtId="3" fontId="0" fillId="0" borderId="6" xfId="0" applyNumberFormat="1" applyBorder="1"/>
    <xf numFmtId="3" fontId="0" fillId="0" borderId="8" xfId="0" applyNumberFormat="1" applyBorder="1"/>
    <xf numFmtId="3" fontId="0" fillId="0" borderId="9" xfId="0" applyNumberFormat="1" applyBorder="1"/>
    <xf numFmtId="0" fontId="0" fillId="0" borderId="11" xfId="0" applyFill="1" applyBorder="1"/>
    <xf numFmtId="0" fontId="0" fillId="0" borderId="12" xfId="0" applyFill="1" applyBorder="1"/>
    <xf numFmtId="0" fontId="0" fillId="0" borderId="5" xfId="0" applyFill="1" applyBorder="1"/>
    <xf numFmtId="0" fontId="0" fillId="0" borderId="13" xfId="0" applyFill="1" applyBorder="1"/>
    <xf numFmtId="0" fontId="0" fillId="0" borderId="14" xfId="0" applyFill="1" applyBorder="1"/>
    <xf numFmtId="3" fontId="0" fillId="0" borderId="11" xfId="0" applyNumberFormat="1" applyBorder="1"/>
    <xf numFmtId="3" fontId="0" fillId="0" borderId="5" xfId="0" applyNumberFormat="1" applyBorder="1"/>
    <xf numFmtId="3" fontId="0" fillId="0" borderId="13" xfId="0" applyNumberFormat="1" applyBorder="1"/>
    <xf numFmtId="0" fontId="0" fillId="0" borderId="15" xfId="0" applyFill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3" fontId="0" fillId="0" borderId="15" xfId="0" applyNumberFormat="1" applyBorder="1"/>
    <xf numFmtId="3" fontId="0" fillId="0" borderId="17" xfId="0" applyNumberFormat="1" applyBorder="1"/>
    <xf numFmtId="3" fontId="0" fillId="0" borderId="18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0" fillId="0" borderId="0" xfId="0" applyNumberFormat="1" applyFont="1" applyFill="1" applyBorder="1" applyAlignment="1" applyProtection="1"/>
    <xf numFmtId="49" fontId="20" fillId="0" borderId="0" xfId="0" applyNumberFormat="1" applyFont="1" applyFill="1" applyBorder="1" applyAlignment="1" applyProtection="1">
      <alignment vertical="center" wrapText="1"/>
    </xf>
    <xf numFmtId="49" fontId="9" fillId="0" borderId="0" xfId="0" applyNumberFormat="1" applyFont="1" applyFill="1" applyBorder="1" applyAlignment="1" applyProtection="1">
      <alignment vertical="center" wrapText="1"/>
    </xf>
    <xf numFmtId="0" fontId="20" fillId="0" borderId="0" xfId="0" applyFont="1" applyFill="1" applyBorder="1" applyAlignment="1">
      <alignment horizontal="right" vertical="center" wrapText="1"/>
    </xf>
    <xf numFmtId="0" fontId="20" fillId="0" borderId="0" xfId="0" applyFont="1" applyFill="1" applyBorder="1" applyAlignment="1">
      <alignment vertical="center" wrapText="1"/>
    </xf>
    <xf numFmtId="165" fontId="9" fillId="0" borderId="0" xfId="0" applyNumberFormat="1" applyFont="1" applyFill="1" applyBorder="1" applyAlignment="1">
      <alignment vertical="center" wrapText="1"/>
    </xf>
    <xf numFmtId="0" fontId="21" fillId="0" borderId="0" xfId="0" applyFont="1"/>
    <xf numFmtId="0" fontId="17" fillId="0" borderId="1" xfId="19" quotePrefix="1" applyNumberFormat="1" applyFont="1" applyFill="1">
      <alignment horizontal="left" vertical="center" indent="1" justifyLastLine="1"/>
    </xf>
    <xf numFmtId="0" fontId="7" fillId="0" borderId="0" xfId="2" applyNumberFormat="1" applyFont="1" applyFill="1" applyBorder="1" applyAlignment="1" applyProtection="1">
      <alignment vertical="center" wrapText="1"/>
    </xf>
    <xf numFmtId="0" fontId="25" fillId="0" borderId="0" xfId="2" quotePrefix="1" applyNumberFormat="1" applyFont="1" applyFill="1" applyBorder="1" applyAlignment="1" applyProtection="1">
      <alignment horizontal="center" vertical="center"/>
    </xf>
    <xf numFmtId="0" fontId="13" fillId="0" borderId="0" xfId="2" applyNumberFormat="1" applyFont="1" applyFill="1" applyBorder="1" applyAlignment="1" applyProtection="1">
      <alignment horizontal="center" vertical="center"/>
    </xf>
    <xf numFmtId="0" fontId="7" fillId="0" borderId="0" xfId="2" applyNumberFormat="1" applyFont="1" applyFill="1" applyBorder="1" applyAlignment="1" applyProtection="1">
      <alignment horizontal="center" vertical="center"/>
    </xf>
    <xf numFmtId="0" fontId="13" fillId="0" borderId="0" xfId="2" quotePrefix="1" applyNumberFormat="1" applyFont="1" applyFill="1" applyBorder="1" applyAlignment="1" applyProtection="1">
      <alignment horizontal="left" vertical="center"/>
    </xf>
    <xf numFmtId="0" fontId="29" fillId="12" borderId="1" xfId="11" quotePrefix="1" applyNumberFormat="1" applyFont="1" applyFill="1">
      <alignment horizontal="left" vertical="center" indent="1" justifyLastLine="1"/>
    </xf>
    <xf numFmtId="3" fontId="29" fillId="12" borderId="1" xfId="19" quotePrefix="1" applyNumberFormat="1" applyFont="1" applyFill="1" applyAlignment="1">
      <alignment horizontal="left" vertical="center" wrapText="1" indent="1" justifyLastLine="1"/>
    </xf>
    <xf numFmtId="3" fontId="8" fillId="12" borderId="20" xfId="2" applyNumberFormat="1" applyFont="1" applyFill="1" applyBorder="1" applyAlignment="1" applyProtection="1">
      <alignment horizontal="right"/>
    </xf>
    <xf numFmtId="3" fontId="8" fillId="12" borderId="4" xfId="2" applyNumberFormat="1" applyFont="1" applyFill="1" applyBorder="1" applyAlignment="1" applyProtection="1">
      <alignment horizontal="right"/>
    </xf>
    <xf numFmtId="3" fontId="8" fillId="12" borderId="4" xfId="2" applyNumberFormat="1" applyFont="1" applyFill="1" applyBorder="1" applyAlignment="1" applyProtection="1">
      <alignment vertical="center"/>
    </xf>
    <xf numFmtId="0" fontId="7" fillId="0" borderId="0" xfId="2" applyFont="1" applyProtection="1"/>
    <xf numFmtId="0" fontId="6" fillId="0" borderId="0" xfId="2" applyProtection="1"/>
    <xf numFmtId="0" fontId="13" fillId="0" borderId="0" xfId="2" applyFont="1" applyProtection="1"/>
    <xf numFmtId="0" fontId="7" fillId="0" borderId="0" xfId="2" applyFont="1" applyAlignment="1" applyProtection="1">
      <alignment vertical="center"/>
    </xf>
    <xf numFmtId="0" fontId="6" fillId="0" borderId="0" xfId="2" applyAlignment="1" applyProtection="1">
      <alignment vertical="center"/>
    </xf>
    <xf numFmtId="3" fontId="13" fillId="13" borderId="5" xfId="2" applyNumberFormat="1" applyFont="1" applyFill="1" applyBorder="1" applyProtection="1"/>
    <xf numFmtId="3" fontId="11" fillId="13" borderId="5" xfId="2" applyNumberFormat="1" applyFont="1" applyFill="1" applyBorder="1" applyProtection="1"/>
    <xf numFmtId="0" fontId="25" fillId="0" borderId="0" xfId="2" applyFont="1" applyProtection="1"/>
    <xf numFmtId="0" fontId="24" fillId="0" borderId="0" xfId="2" applyFont="1" applyProtection="1"/>
    <xf numFmtId="0" fontId="13" fillId="0" borderId="5" xfId="2" applyFont="1" applyBorder="1" applyProtection="1"/>
    <xf numFmtId="0" fontId="12" fillId="0" borderId="5" xfId="2" applyFont="1" applyBorder="1" applyAlignment="1" applyProtection="1">
      <alignment vertical="center"/>
    </xf>
    <xf numFmtId="0" fontId="12" fillId="0" borderId="5" xfId="2" applyFont="1" applyFill="1" applyBorder="1" applyAlignment="1" applyProtection="1">
      <alignment vertical="center"/>
    </xf>
    <xf numFmtId="0" fontId="10" fillId="0" borderId="5" xfId="2" applyFont="1" applyFill="1" applyBorder="1" applyAlignment="1" applyProtection="1">
      <alignment horizontal="center" vertical="center"/>
    </xf>
    <xf numFmtId="0" fontId="11" fillId="0" borderId="0" xfId="2" applyFont="1" applyProtection="1"/>
    <xf numFmtId="0" fontId="23" fillId="0" borderId="0" xfId="2" applyFont="1" applyProtection="1"/>
    <xf numFmtId="0" fontId="12" fillId="0" borderId="5" xfId="5" applyFont="1" applyFill="1" applyBorder="1" applyAlignment="1" applyProtection="1">
      <alignment horizontal="left" vertical="center" wrapText="1"/>
    </xf>
    <xf numFmtId="0" fontId="12" fillId="0" borderId="5" xfId="2" applyFont="1" applyFill="1" applyBorder="1" applyAlignment="1" applyProtection="1">
      <alignment horizontal="right" vertical="center"/>
    </xf>
    <xf numFmtId="1" fontId="4" fillId="0" borderId="0" xfId="2" applyNumberFormat="1" applyFont="1" applyAlignment="1" applyProtection="1">
      <alignment vertical="center" wrapText="1"/>
    </xf>
    <xf numFmtId="0" fontId="4" fillId="0" borderId="0" xfId="2" applyFont="1" applyAlignment="1" applyProtection="1">
      <alignment vertical="center"/>
    </xf>
    <xf numFmtId="0" fontId="4" fillId="0" borderId="0" xfId="2" applyFont="1" applyAlignment="1" applyProtection="1">
      <alignment horizontal="right" vertical="center"/>
    </xf>
    <xf numFmtId="1" fontId="8" fillId="12" borderId="4" xfId="2" applyNumberFormat="1" applyFont="1" applyFill="1" applyBorder="1" applyAlignment="1" applyProtection="1">
      <alignment horizontal="left" vertical="center" wrapText="1"/>
    </xf>
    <xf numFmtId="0" fontId="8" fillId="12" borderId="4" xfId="2" applyFont="1" applyFill="1" applyBorder="1" applyAlignment="1" applyProtection="1">
      <alignment horizontal="center" vertical="center" wrapText="1"/>
    </xf>
    <xf numFmtId="0" fontId="4" fillId="0" borderId="0" xfId="2" applyFont="1" applyFill="1" applyAlignment="1" applyProtection="1">
      <alignment vertical="center"/>
    </xf>
    <xf numFmtId="49" fontId="7" fillId="0" borderId="5" xfId="2" applyNumberFormat="1" applyFont="1" applyFill="1" applyBorder="1" applyAlignment="1" applyProtection="1">
      <alignment horizontal="left"/>
    </xf>
    <xf numFmtId="0" fontId="4" fillId="0" borderId="5" xfId="6" applyFont="1" applyFill="1" applyBorder="1" applyAlignment="1" applyProtection="1">
      <alignment horizontal="left" vertical="center" wrapText="1"/>
    </xf>
    <xf numFmtId="49" fontId="7" fillId="0" borderId="21" xfId="2" applyNumberFormat="1" applyFont="1" applyFill="1" applyBorder="1" applyAlignment="1" applyProtection="1">
      <alignment horizontal="left"/>
    </xf>
    <xf numFmtId="49" fontId="11" fillId="13" borderId="5" xfId="2" applyNumberFormat="1" applyFont="1" applyFill="1" applyBorder="1" applyAlignment="1" applyProtection="1">
      <alignment horizontal="left"/>
    </xf>
    <xf numFmtId="0" fontId="10" fillId="13" borderId="5" xfId="6" applyFont="1" applyFill="1" applyBorder="1" applyAlignment="1" applyProtection="1">
      <alignment horizontal="left" vertical="center" wrapText="1"/>
    </xf>
    <xf numFmtId="0" fontId="7" fillId="0" borderId="5" xfId="7" applyFont="1" applyFill="1" applyBorder="1" applyAlignment="1" applyProtection="1">
      <alignment horizontal="left" wrapText="1"/>
    </xf>
    <xf numFmtId="1" fontId="4" fillId="0" borderId="5" xfId="2" applyNumberFormat="1" applyFont="1" applyBorder="1" applyAlignment="1" applyProtection="1">
      <alignment horizontal="left" vertical="center" wrapText="1"/>
    </xf>
    <xf numFmtId="0" fontId="4" fillId="0" borderId="5" xfId="8" applyFont="1" applyFill="1" applyBorder="1" applyAlignment="1" applyProtection="1">
      <alignment horizontal="left" vertical="center" wrapText="1"/>
    </xf>
    <xf numFmtId="0" fontId="7" fillId="0" borderId="0" xfId="2" applyNumberFormat="1" applyFont="1" applyFill="1" applyBorder="1" applyAlignment="1" applyProtection="1">
      <alignment horizontal="center" vertical="center" wrapText="1"/>
    </xf>
    <xf numFmtId="0" fontId="7" fillId="0" borderId="0" xfId="2" applyNumberFormat="1" applyFont="1" applyFill="1" applyBorder="1" applyAlignment="1" applyProtection="1">
      <alignment horizontal="left" vertical="center" wrapText="1"/>
    </xf>
    <xf numFmtId="0" fontId="28" fillId="0" borderId="0" xfId="2" applyFont="1" applyBorder="1" applyAlignment="1" applyProtection="1">
      <alignment vertical="center"/>
    </xf>
    <xf numFmtId="0" fontId="27" fillId="0" borderId="0" xfId="2" quotePrefix="1" applyFont="1" applyBorder="1" applyAlignment="1" applyProtection="1">
      <alignment horizontal="center" vertical="center"/>
    </xf>
    <xf numFmtId="0" fontId="27" fillId="0" borderId="0" xfId="2" applyFont="1" applyBorder="1" applyAlignment="1" applyProtection="1">
      <alignment vertical="center"/>
    </xf>
    <xf numFmtId="0" fontId="28" fillId="0" borderId="0" xfId="2" quotePrefix="1" applyFont="1" applyBorder="1" applyAlignment="1" applyProtection="1">
      <alignment horizontal="left" vertical="center" wrapText="1"/>
    </xf>
    <xf numFmtId="0" fontId="27" fillId="0" borderId="0" xfId="2" quotePrefix="1" applyFont="1" applyBorder="1" applyAlignment="1" applyProtection="1">
      <alignment horizontal="left" vertical="center" wrapText="1"/>
    </xf>
    <xf numFmtId="0" fontId="4" fillId="0" borderId="21" xfId="6" applyFont="1" applyFill="1" applyBorder="1" applyAlignment="1" applyProtection="1">
      <alignment horizontal="left" vertical="center" wrapText="1"/>
    </xf>
    <xf numFmtId="3" fontId="8" fillId="12" borderId="23" xfId="2" applyNumberFormat="1" applyFont="1" applyFill="1" applyBorder="1" applyAlignment="1" applyProtection="1">
      <alignment horizontal="right"/>
    </xf>
    <xf numFmtId="49" fontId="7" fillId="0" borderId="24" xfId="2" applyNumberFormat="1" applyFont="1" applyFill="1" applyBorder="1" applyAlignment="1" applyProtection="1">
      <alignment horizontal="left"/>
    </xf>
    <xf numFmtId="0" fontId="4" fillId="0" borderId="24" xfId="6" applyFont="1" applyFill="1" applyBorder="1" applyAlignment="1" applyProtection="1">
      <alignment horizontal="left" vertical="center" wrapText="1"/>
    </xf>
    <xf numFmtId="166" fontId="7" fillId="0" borderId="5" xfId="2" applyNumberFormat="1" applyFont="1" applyFill="1" applyBorder="1" applyAlignment="1" applyProtection="1">
      <alignment vertical="center"/>
      <protection locked="0"/>
    </xf>
    <xf numFmtId="49" fontId="13" fillId="13" borderId="5" xfId="2" applyNumberFormat="1" applyFont="1" applyFill="1" applyBorder="1" applyAlignment="1" applyProtection="1">
      <alignment horizontal="left"/>
    </xf>
    <xf numFmtId="0" fontId="12" fillId="13" borderId="5" xfId="6" applyFont="1" applyFill="1" applyBorder="1" applyAlignment="1" applyProtection="1">
      <alignment horizontal="left" vertical="center" wrapText="1"/>
    </xf>
    <xf numFmtId="49" fontId="13" fillId="13" borderId="17" xfId="2" applyNumberFormat="1" applyFont="1" applyFill="1" applyBorder="1" applyAlignment="1" applyProtection="1">
      <alignment horizontal="left"/>
    </xf>
    <xf numFmtId="0" fontId="12" fillId="13" borderId="17" xfId="6" applyFont="1" applyFill="1" applyBorder="1" applyAlignment="1" applyProtection="1">
      <alignment horizontal="left" vertical="center" wrapText="1"/>
    </xf>
    <xf numFmtId="3" fontId="13" fillId="13" borderId="17" xfId="2" applyNumberFormat="1" applyFont="1" applyFill="1" applyBorder="1" applyAlignment="1" applyProtection="1">
      <alignment vertical="center"/>
    </xf>
    <xf numFmtId="0" fontId="30" fillId="19" borderId="5" xfId="2" applyFont="1" applyFill="1" applyBorder="1" applyAlignment="1" applyProtection="1">
      <alignment vertical="center" wrapText="1"/>
    </xf>
    <xf numFmtId="3" fontId="30" fillId="19" borderId="5" xfId="2" applyNumberFormat="1" applyFont="1" applyFill="1" applyBorder="1" applyAlignment="1" applyProtection="1">
      <alignment vertical="center"/>
    </xf>
    <xf numFmtId="3" fontId="30" fillId="19" borderId="5" xfId="2" applyNumberFormat="1" applyFont="1" applyFill="1" applyBorder="1" applyAlignment="1" applyProtection="1">
      <alignment vertical="center" wrapText="1"/>
    </xf>
    <xf numFmtId="3" fontId="12" fillId="14" borderId="5" xfId="2" applyNumberFormat="1" applyFont="1" applyFill="1" applyBorder="1" applyAlignment="1" applyProtection="1">
      <alignment horizontal="left" vertical="center"/>
    </xf>
    <xf numFmtId="3" fontId="12" fillId="14" borderId="5" xfId="2" applyNumberFormat="1" applyFont="1" applyFill="1" applyBorder="1" applyAlignment="1" applyProtection="1">
      <alignment vertical="center" wrapText="1"/>
    </xf>
    <xf numFmtId="3" fontId="13" fillId="14" borderId="5" xfId="2" applyNumberFormat="1" applyFont="1" applyFill="1" applyBorder="1" applyProtection="1"/>
    <xf numFmtId="3" fontId="12" fillId="14" borderId="5" xfId="2" applyNumberFormat="1" applyFont="1" applyFill="1" applyBorder="1" applyAlignment="1" applyProtection="1">
      <alignment vertical="center"/>
    </xf>
    <xf numFmtId="3" fontId="13" fillId="14" borderId="5" xfId="2" applyNumberFormat="1" applyFont="1" applyFill="1" applyBorder="1" applyAlignment="1" applyProtection="1">
      <alignment vertical="center"/>
    </xf>
    <xf numFmtId="0" fontId="12" fillId="14" borderId="5" xfId="2" applyFont="1" applyFill="1" applyBorder="1" applyAlignment="1" applyProtection="1">
      <alignment horizontal="left" vertical="center"/>
    </xf>
    <xf numFmtId="0" fontId="13" fillId="14" borderId="5" xfId="2" applyFont="1" applyFill="1" applyBorder="1" applyAlignment="1" applyProtection="1">
      <alignment vertical="center"/>
    </xf>
    <xf numFmtId="0" fontId="4" fillId="0" borderId="5" xfId="6" applyFont="1" applyFill="1" applyBorder="1" applyAlignment="1" applyProtection="1">
      <alignment horizontal="left" vertical="center"/>
    </xf>
    <xf numFmtId="3" fontId="12" fillId="14" borderId="22" xfId="2" applyNumberFormat="1" applyFont="1" applyFill="1" applyBorder="1" applyAlignment="1" applyProtection="1">
      <alignment vertical="center"/>
    </xf>
    <xf numFmtId="3" fontId="13" fillId="14" borderId="24" xfId="2" applyNumberFormat="1" applyFont="1" applyFill="1" applyBorder="1" applyAlignment="1" applyProtection="1">
      <alignment vertical="center"/>
    </xf>
    <xf numFmtId="3" fontId="13" fillId="13" borderId="26" xfId="2" applyNumberFormat="1" applyFont="1" applyFill="1" applyBorder="1" applyProtection="1"/>
    <xf numFmtId="3" fontId="13" fillId="13" borderId="26" xfId="2" applyNumberFormat="1" applyFont="1" applyFill="1" applyBorder="1" applyAlignment="1" applyProtection="1">
      <alignment vertical="center"/>
    </xf>
    <xf numFmtId="0" fontId="2" fillId="12" borderId="4" xfId="2" applyFont="1" applyFill="1" applyBorder="1" applyAlignment="1" applyProtection="1">
      <alignment horizontal="center" vertical="center" wrapText="1"/>
    </xf>
    <xf numFmtId="0" fontId="2" fillId="12" borderId="4" xfId="2" applyNumberFormat="1" applyFont="1" applyFill="1" applyBorder="1" applyAlignment="1" applyProtection="1">
      <alignment horizontal="center" vertical="center" wrapText="1"/>
    </xf>
    <xf numFmtId="3" fontId="7" fillId="13" borderId="24" xfId="2" applyNumberFormat="1" applyFont="1" applyFill="1" applyBorder="1" applyAlignment="1" applyProtection="1">
      <alignment vertical="center"/>
    </xf>
    <xf numFmtId="0" fontId="13" fillId="0" borderId="5" xfId="2" applyFont="1" applyBorder="1" applyAlignment="1" applyProtection="1">
      <alignment horizontal="right"/>
    </xf>
    <xf numFmtId="0" fontId="17" fillId="52" borderId="1" xfId="19" quotePrefix="1" applyNumberFormat="1" applyFont="1" applyFill="1" applyBorder="1">
      <alignment horizontal="left" vertical="center" indent="1" justifyLastLine="1"/>
    </xf>
    <xf numFmtId="0" fontId="16" fillId="52" borderId="1" xfId="0" applyFont="1" applyFill="1" applyBorder="1"/>
    <xf numFmtId="0" fontId="16" fillId="52" borderId="1" xfId="19" quotePrefix="1" applyNumberFormat="1" applyFont="1" applyFill="1" applyBorder="1">
      <alignment horizontal="left" vertical="center" indent="1" justifyLastLine="1"/>
    </xf>
    <xf numFmtId="3" fontId="4" fillId="15" borderId="5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4" fontId="29" fillId="12" borderId="40" xfId="19" applyNumberFormat="1" applyFont="1" applyFill="1" applyBorder="1" applyAlignment="1" applyProtection="1">
      <alignment horizontal="center" vertical="center" wrapText="1" justifyLastLine="1"/>
    </xf>
    <xf numFmtId="0" fontId="16" fillId="52" borderId="1" xfId="19" quotePrefix="1" applyNumberFormat="1" applyFont="1" applyFill="1" applyBorder="1" applyProtection="1">
      <alignment horizontal="left" vertical="center" indent="1" justifyLastLine="1"/>
    </xf>
    <xf numFmtId="0" fontId="16" fillId="52" borderId="1" xfId="19" quotePrefix="1" applyNumberFormat="1" applyFont="1" applyFill="1" applyProtection="1">
      <alignment horizontal="left" vertical="center" indent="1" justifyLastLine="1"/>
    </xf>
    <xf numFmtId="0" fontId="45" fillId="51" borderId="0" xfId="0" applyFont="1" applyFill="1" applyProtection="1"/>
    <xf numFmtId="3" fontId="48" fillId="12" borderId="1" xfId="19" quotePrefix="1" applyNumberFormat="1" applyFont="1" applyFill="1" applyAlignment="1">
      <alignment horizontal="center" vertical="center" wrapText="1" justifyLastLine="1"/>
    </xf>
    <xf numFmtId="0" fontId="29" fillId="12" borderId="41" xfId="11" applyNumberFormat="1" applyFont="1" applyFill="1" applyBorder="1">
      <alignment horizontal="left" vertical="center" indent="1" justifyLastLine="1"/>
    </xf>
    <xf numFmtId="0" fontId="17" fillId="51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16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1" fillId="0" borderId="0" xfId="4" applyFont="1" applyAlignment="1" applyProtection="1"/>
    <xf numFmtId="1" fontId="8" fillId="12" borderId="4" xfId="2" applyNumberFormat="1" applyFont="1" applyFill="1" applyBorder="1" applyAlignment="1" applyProtection="1">
      <alignment horizontal="center" vertical="center" wrapText="1"/>
    </xf>
    <xf numFmtId="3" fontId="16" fillId="0" borderId="1" xfId="18" applyNumberFormat="1" applyFont="1" applyFill="1" applyProtection="1">
      <alignment horizontal="right" vertical="center"/>
      <protection locked="0"/>
    </xf>
    <xf numFmtId="0" fontId="16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16" fillId="0" borderId="1" xfId="18" applyNumberFormat="1" applyFont="1" applyFill="1" applyAlignment="1" applyProtection="1">
      <alignment horizontal="center" vertical="center"/>
      <protection locked="0"/>
    </xf>
    <xf numFmtId="0" fontId="17" fillId="52" borderId="1" xfId="19" quotePrefix="1" applyNumberFormat="1" applyFont="1" applyFill="1" applyBorder="1" applyAlignment="1">
      <alignment horizontal="center" vertical="center" justifyLastLine="1"/>
    </xf>
    <xf numFmtId="3" fontId="7" fillId="0" borderId="5" xfId="2" applyNumberFormat="1" applyFont="1" applyFill="1" applyBorder="1" applyAlignment="1" applyProtection="1">
      <alignment vertical="center"/>
    </xf>
    <xf numFmtId="3" fontId="7" fillId="0" borderId="21" xfId="2" applyNumberFormat="1" applyFont="1" applyFill="1" applyBorder="1" applyAlignment="1" applyProtection="1">
      <alignment vertical="center"/>
    </xf>
    <xf numFmtId="0" fontId="50" fillId="0" borderId="0" xfId="0" applyFont="1" applyAlignment="1">
      <alignment vertical="top"/>
    </xf>
    <xf numFmtId="0" fontId="16" fillId="52" borderId="1" xfId="0" applyFont="1" applyFill="1" applyBorder="1" applyAlignment="1"/>
    <xf numFmtId="0" fontId="51" fillId="17" borderId="4" xfId="4" applyFont="1" applyFill="1" applyBorder="1" applyAlignment="1" applyProtection="1">
      <alignment horizontal="center" vertical="center" wrapText="1"/>
    </xf>
    <xf numFmtId="0" fontId="53" fillId="0" borderId="1" xfId="19" quotePrefix="1" applyNumberFormat="1" applyFont="1" applyFill="1">
      <alignment horizontal="left" vertical="center" indent="1" justifyLastLine="1"/>
    </xf>
    <xf numFmtId="0" fontId="52" fillId="0" borderId="0" xfId="0" applyFont="1"/>
    <xf numFmtId="0" fontId="45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4" fillId="0" borderId="5" xfId="5" applyFont="1" applyFill="1" applyBorder="1" applyAlignment="1" applyProtection="1">
      <alignment horizontal="left" vertical="center"/>
    </xf>
    <xf numFmtId="0" fontId="0" fillId="0" borderId="9" xfId="0" applyFill="1" applyBorder="1"/>
    <xf numFmtId="14" fontId="16" fillId="0" borderId="1" xfId="18" applyNumberFormat="1" applyFont="1" applyFill="1" applyProtection="1">
      <alignment horizontal="right" vertical="center"/>
      <protection locked="0"/>
    </xf>
    <xf numFmtId="0" fontId="16" fillId="0" borderId="1" xfId="18" applyNumberFormat="1" applyFont="1" applyFill="1" applyProtection="1">
      <alignment horizontal="right" vertical="center"/>
      <protection locked="0"/>
    </xf>
    <xf numFmtId="3" fontId="48" fillId="12" borderId="1" xfId="19" quotePrefix="1" applyNumberFormat="1" applyFont="1" applyFill="1" applyBorder="1" applyAlignment="1">
      <alignment horizontal="center" vertical="center" wrapText="1" justifyLastLine="1"/>
    </xf>
    <xf numFmtId="0" fontId="29" fillId="12" borderId="1" xfId="11" quotePrefix="1" applyNumberFormat="1" applyFont="1" applyFill="1" applyBorder="1" applyProtection="1">
      <alignment horizontal="left" vertical="center" indent="1" justifyLastLine="1"/>
    </xf>
    <xf numFmtId="0" fontId="51" fillId="17" borderId="1" xfId="4" applyFont="1" applyFill="1" applyBorder="1" applyAlignment="1" applyProtection="1">
      <alignment horizontal="center" vertical="center" wrapText="1"/>
    </xf>
    <xf numFmtId="169" fontId="5" fillId="3" borderId="1" xfId="13" quotePrefix="1" applyNumberFormat="1" applyAlignment="1">
      <alignment horizontal="left" vertical="center" indent="2" justifyLastLine="1"/>
    </xf>
    <xf numFmtId="0" fontId="5" fillId="3" borderId="1" xfId="13" quotePrefix="1">
      <alignment horizontal="left" vertical="center" indent="1" justifyLastLine="1"/>
    </xf>
    <xf numFmtId="169" fontId="5" fillId="8" borderId="1" xfId="14" quotePrefix="1" applyNumberFormat="1" applyAlignment="1">
      <alignment horizontal="left" vertical="center" indent="3" justifyLastLine="1"/>
    </xf>
    <xf numFmtId="0" fontId="5" fillId="8" borderId="1" xfId="14" quotePrefix="1">
      <alignment horizontal="left" vertical="center" indent="1" justifyLastLine="1"/>
    </xf>
    <xf numFmtId="169" fontId="5" fillId="2" borderId="1" xfId="15" quotePrefix="1" applyNumberFormat="1" applyAlignment="1">
      <alignment horizontal="left" vertical="center" indent="4" justifyLastLine="1"/>
    </xf>
    <xf numFmtId="0" fontId="5" fillId="2" borderId="1" xfId="15" quotePrefix="1">
      <alignment horizontal="left" vertical="center" indent="1" justifyLastLine="1"/>
    </xf>
    <xf numFmtId="170" fontId="5" fillId="9" borderId="1" xfId="16" quotePrefix="1" applyNumberFormat="1" applyAlignment="1">
      <alignment horizontal="left" vertical="center" indent="5" justifyLastLine="1"/>
    </xf>
    <xf numFmtId="0" fontId="5" fillId="9" borderId="1" xfId="16" quotePrefix="1">
      <alignment horizontal="left" vertical="center" indent="1" justifyLastLine="1"/>
    </xf>
    <xf numFmtId="169" fontId="5" fillId="0" borderId="1" xfId="14" quotePrefix="1" applyNumberFormat="1" applyFill="1" applyAlignment="1">
      <alignment horizontal="left" vertical="center" indent="3" justifyLastLine="1"/>
    </xf>
    <xf numFmtId="0" fontId="5" fillId="0" borderId="1" xfId="14" quotePrefix="1" applyFill="1">
      <alignment horizontal="left" vertical="center" indent="1" justifyLastLine="1"/>
    </xf>
    <xf numFmtId="0" fontId="0" fillId="0" borderId="0" xfId="0" applyFill="1"/>
    <xf numFmtId="169" fontId="5" fillId="18" borderId="1" xfId="13" quotePrefix="1" applyNumberFormat="1" applyFill="1" applyAlignment="1">
      <alignment horizontal="left" vertical="center" indent="2" justifyLastLine="1"/>
    </xf>
    <xf numFmtId="0" fontId="5" fillId="18" borderId="1" xfId="13" quotePrefix="1" applyFill="1">
      <alignment horizontal="left" vertical="center" indent="1" justifyLastLine="1"/>
    </xf>
    <xf numFmtId="169" fontId="5" fillId="18" borderId="1" xfId="14" quotePrefix="1" applyNumberFormat="1" applyFill="1" applyAlignment="1">
      <alignment horizontal="left" vertical="center" indent="3" justifyLastLine="1"/>
    </xf>
    <xf numFmtId="0" fontId="5" fillId="18" borderId="1" xfId="14" quotePrefix="1" applyFill="1">
      <alignment horizontal="left" vertical="center" indent="1" justifyLastLine="1"/>
    </xf>
    <xf numFmtId="169" fontId="5" fillId="18" borderId="1" xfId="15" quotePrefix="1" applyNumberFormat="1" applyFill="1" applyAlignment="1">
      <alignment horizontal="left" vertical="center" indent="4" justifyLastLine="1"/>
    </xf>
    <xf numFmtId="0" fontId="5" fillId="18" borderId="1" xfId="15" quotePrefix="1" applyFill="1">
      <alignment horizontal="left" vertical="center" indent="1" justifyLastLine="1"/>
    </xf>
    <xf numFmtId="170" fontId="5" fillId="0" borderId="1" xfId="16" quotePrefix="1" applyNumberFormat="1" applyFill="1" applyAlignment="1">
      <alignment horizontal="left" vertical="center" indent="5" justifyLastLine="1"/>
    </xf>
    <xf numFmtId="0" fontId="5" fillId="0" borderId="1" xfId="16" quotePrefix="1" applyFill="1" applyAlignment="1">
      <alignment horizontal="left" vertical="center" wrapText="1" indent="1" justifyLastLine="1"/>
    </xf>
    <xf numFmtId="0" fontId="5" fillId="18" borderId="1" xfId="15" quotePrefix="1" applyFill="1" applyAlignment="1">
      <alignment horizontal="left" vertical="center" wrapText="1" indent="1" justifyLastLine="1"/>
    </xf>
    <xf numFmtId="0" fontId="5" fillId="18" borderId="1" xfId="14" quotePrefix="1" applyFill="1" applyAlignment="1">
      <alignment horizontal="left" vertical="center" wrapText="1" indent="1" justifyLastLine="1"/>
    </xf>
    <xf numFmtId="49" fontId="4" fillId="0" borderId="5" xfId="2" applyNumberFormat="1" applyFont="1" applyFill="1" applyBorder="1" applyAlignment="1" applyProtection="1">
      <alignment horizontal="left"/>
    </xf>
    <xf numFmtId="0" fontId="29" fillId="12" borderId="43" xfId="11" quotePrefix="1" applyNumberFormat="1" applyFont="1" applyFill="1" applyBorder="1" applyProtection="1">
      <alignment horizontal="left" vertical="center" indent="1" justifyLastLine="1"/>
    </xf>
    <xf numFmtId="3" fontId="48" fillId="12" borderId="43" xfId="19" quotePrefix="1" applyNumberFormat="1" applyFont="1" applyFill="1" applyBorder="1" applyAlignment="1">
      <alignment horizontal="center" vertical="center" wrapText="1" justifyLastLine="1"/>
    </xf>
    <xf numFmtId="0" fontId="16" fillId="52" borderId="42" xfId="19" quotePrefix="1" applyNumberFormat="1" applyFont="1" applyFill="1" applyBorder="1" applyProtection="1">
      <alignment horizontal="left" vertical="center" indent="1" justifyLastLine="1"/>
    </xf>
    <xf numFmtId="0" fontId="16" fillId="0" borderId="42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16" fillId="0" borderId="42" xfId="18" applyNumberFormat="1" applyFont="1" applyFill="1" applyBorder="1" applyAlignment="1" applyProtection="1">
      <alignment horizontal="center" vertical="center"/>
      <protection locked="0"/>
    </xf>
    <xf numFmtId="3" fontId="16" fillId="0" borderId="42" xfId="18" applyNumberFormat="1" applyFont="1" applyFill="1" applyBorder="1" applyProtection="1">
      <alignment horizontal="right" vertical="center"/>
      <protection locked="0"/>
    </xf>
    <xf numFmtId="4" fontId="55" fillId="0" borderId="5" xfId="0" applyNumberFormat="1" applyFont="1" applyFill="1" applyBorder="1"/>
    <xf numFmtId="4" fontId="56" fillId="0" borderId="5" xfId="0" applyNumberFormat="1" applyFont="1" applyFill="1" applyBorder="1"/>
    <xf numFmtId="0" fontId="57" fillId="0" borderId="5" xfId="74" quotePrefix="1" applyNumberFormat="1" applyFont="1" applyFill="1" applyBorder="1" applyAlignment="1" applyProtection="1">
      <alignment horizontal="center" vertical="center" justifyLastLine="1"/>
      <protection locked="0"/>
    </xf>
    <xf numFmtId="0" fontId="58" fillId="0" borderId="5" xfId="74" quotePrefix="1" applyNumberFormat="1" applyFont="1" applyFill="1" applyBorder="1" applyAlignment="1" applyProtection="1">
      <alignment horizontal="center" vertical="center" justifyLastLine="1"/>
      <protection locked="0"/>
    </xf>
    <xf numFmtId="4" fontId="59" fillId="0" borderId="5" xfId="0" applyNumberFormat="1" applyFont="1" applyFill="1" applyBorder="1"/>
    <xf numFmtId="0" fontId="57" fillId="0" borderId="5" xfId="19" quotePrefix="1" applyNumberFormat="1" applyFont="1" applyFill="1" applyBorder="1" applyProtection="1">
      <alignment horizontal="left" vertical="center" indent="1" justifyLastLine="1"/>
    </xf>
    <xf numFmtId="0" fontId="57" fillId="0" borderId="5" xfId="74" quotePrefix="1" applyNumberFormat="1" applyFont="1" applyFill="1" applyBorder="1" applyProtection="1">
      <alignment horizontal="left" vertical="center" indent="1" justifyLastLine="1"/>
    </xf>
    <xf numFmtId="0" fontId="60" fillId="0" borderId="5" xfId="0" applyFont="1" applyFill="1" applyBorder="1" applyAlignment="1">
      <alignment horizontal="center" vertical="center"/>
    </xf>
    <xf numFmtId="0" fontId="55" fillId="0" borderId="5" xfId="0" applyFont="1" applyFill="1" applyBorder="1" applyAlignment="1"/>
    <xf numFmtId="0" fontId="55" fillId="0" borderId="5" xfId="0" applyFont="1" applyFill="1" applyBorder="1" applyAlignment="1">
      <alignment horizontal="center" vertical="center"/>
    </xf>
    <xf numFmtId="3" fontId="57" fillId="0" borderId="5" xfId="18" applyNumberFormat="1" applyFont="1" applyFill="1" applyBorder="1" applyProtection="1">
      <alignment horizontal="right" vertical="center"/>
      <protection locked="0"/>
    </xf>
    <xf numFmtId="0" fontId="59" fillId="0" borderId="5" xfId="0" applyFont="1" applyFill="1" applyBorder="1" applyAlignment="1">
      <alignment horizontal="center" vertical="center"/>
    </xf>
    <xf numFmtId="0" fontId="57" fillId="0" borderId="5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57" fillId="0" borderId="5" xfId="18" applyNumberFormat="1" applyFont="1" applyFill="1" applyBorder="1" applyAlignment="1" applyProtection="1">
      <alignment horizontal="center" vertical="center"/>
      <protection locked="0"/>
    </xf>
    <xf numFmtId="0" fontId="57" fillId="0" borderId="5" xfId="74" quotePrefix="1" applyNumberFormat="1" applyFont="1" applyFill="1" applyBorder="1" applyAlignment="1" applyProtection="1">
      <alignment vertical="center" justifyLastLine="1"/>
    </xf>
    <xf numFmtId="0" fontId="57" fillId="0" borderId="5" xfId="75" applyNumberFormat="1" applyFont="1" applyFill="1" applyBorder="1" applyAlignment="1" applyProtection="1">
      <alignment horizontal="center" vertical="center"/>
      <protection locked="0"/>
    </xf>
    <xf numFmtId="0" fontId="55" fillId="0" borderId="5" xfId="0" applyFont="1" applyFill="1" applyBorder="1"/>
    <xf numFmtId="0" fontId="0" fillId="0" borderId="0" xfId="0" applyAlignment="1" applyProtection="1">
      <alignment horizontal="center" vertical="center"/>
    </xf>
    <xf numFmtId="0" fontId="50" fillId="0" borderId="0" xfId="0" applyFont="1" applyAlignment="1">
      <alignment horizontal="center" vertical="center"/>
    </xf>
    <xf numFmtId="0" fontId="47" fillId="0" borderId="39" xfId="0" applyFont="1" applyBorder="1"/>
    <xf numFmtId="0" fontId="47" fillId="0" borderId="39" xfId="0" applyFont="1" applyBorder="1" applyProtection="1"/>
    <xf numFmtId="1" fontId="8" fillId="12" borderId="25" xfId="2" applyNumberFormat="1" applyFont="1" applyFill="1" applyBorder="1" applyAlignment="1" applyProtection="1">
      <alignment horizontal="center" vertical="center" wrapText="1"/>
    </xf>
    <xf numFmtId="1" fontId="8" fillId="12" borderId="27" xfId="2" applyNumberFormat="1" applyFont="1" applyFill="1" applyBorder="1" applyAlignment="1" applyProtection="1">
      <alignment horizontal="center" vertical="center" wrapText="1"/>
    </xf>
    <xf numFmtId="0" fontId="26" fillId="12" borderId="25" xfId="2" applyFont="1" applyFill="1" applyBorder="1" applyAlignment="1" applyProtection="1">
      <alignment horizontal="center" vertical="center"/>
    </xf>
    <xf numFmtId="0" fontId="26" fillId="12" borderId="28" xfId="2" applyFont="1" applyFill="1" applyBorder="1" applyAlignment="1" applyProtection="1">
      <alignment horizontal="center" vertical="center"/>
    </xf>
    <xf numFmtId="0" fontId="26" fillId="12" borderId="27" xfId="2" applyFont="1" applyFill="1" applyBorder="1" applyAlignment="1" applyProtection="1">
      <alignment horizontal="center" vertical="center"/>
    </xf>
    <xf numFmtId="1" fontId="8" fillId="12" borderId="4" xfId="2" applyNumberFormat="1" applyFont="1" applyFill="1" applyBorder="1" applyAlignment="1" applyProtection="1">
      <alignment horizontal="center" vertical="center" wrapText="1"/>
    </xf>
    <xf numFmtId="0" fontId="49" fillId="0" borderId="0" xfId="2" applyNumberFormat="1" applyFont="1" applyFill="1" applyBorder="1" applyAlignment="1" applyProtection="1">
      <alignment horizontal="center" vertical="center" wrapText="1"/>
    </xf>
    <xf numFmtId="0" fontId="3" fillId="0" borderId="0" xfId="2" applyFont="1" applyBorder="1" applyAlignment="1" applyProtection="1">
      <alignment horizontal="center"/>
    </xf>
    <xf numFmtId="0" fontId="21" fillId="53" borderId="29" xfId="0" applyFont="1" applyFill="1" applyBorder="1" applyAlignment="1">
      <alignment horizontal="center" vertical="center" wrapText="1"/>
    </xf>
    <xf numFmtId="0" fontId="21" fillId="53" borderId="30" xfId="0" applyFont="1" applyFill="1" applyBorder="1" applyAlignment="1">
      <alignment horizontal="center" vertical="center"/>
    </xf>
    <xf numFmtId="0" fontId="21" fillId="53" borderId="31" xfId="0" applyFont="1" applyFill="1" applyBorder="1" applyAlignment="1">
      <alignment horizontal="center" vertical="center" wrapText="1"/>
    </xf>
    <xf numFmtId="0" fontId="21" fillId="53" borderId="32" xfId="0" applyFont="1" applyFill="1" applyBorder="1" applyAlignment="1">
      <alignment horizontal="center" vertical="center" wrapText="1"/>
    </xf>
    <xf numFmtId="0" fontId="21" fillId="53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1" fillId="53" borderId="34" xfId="0" applyFont="1" applyFill="1" applyBorder="1" applyAlignment="1">
      <alignment horizontal="center" vertical="center" wrapText="1"/>
    </xf>
    <xf numFmtId="0" fontId="21" fillId="53" borderId="35" xfId="0" applyFont="1" applyFill="1" applyBorder="1" applyAlignment="1">
      <alignment horizontal="center" vertical="center" wrapText="1"/>
    </xf>
    <xf numFmtId="0" fontId="21" fillId="53" borderId="36" xfId="0" applyFont="1" applyFill="1" applyBorder="1" applyAlignment="1">
      <alignment horizontal="center" vertical="center" wrapText="1"/>
    </xf>
    <xf numFmtId="0" fontId="21" fillId="53" borderId="30" xfId="0" applyFont="1" applyFill="1" applyBorder="1" applyAlignment="1">
      <alignment horizontal="center" vertical="center" wrapText="1"/>
    </xf>
    <xf numFmtId="0" fontId="47" fillId="0" borderId="0" xfId="0" applyFont="1" applyBorder="1" applyProtection="1"/>
    <xf numFmtId="0" fontId="57" fillId="0" borderId="5" xfId="0" applyFont="1" applyFill="1" applyBorder="1" applyAlignment="1">
      <alignment horizontal="center" vertical="center"/>
    </xf>
    <xf numFmtId="0" fontId="57" fillId="0" borderId="5" xfId="0" applyFont="1" applyFill="1" applyBorder="1" applyAlignment="1"/>
    <xf numFmtId="49" fontId="57" fillId="0" borderId="5" xfId="0" applyNumberFormat="1" applyFont="1" applyFill="1" applyBorder="1" applyAlignment="1">
      <alignment horizontal="center" vertical="center"/>
    </xf>
    <xf numFmtId="0" fontId="61" fillId="17" borderId="44" xfId="4" applyFont="1" applyFill="1" applyBorder="1" applyAlignment="1" applyProtection="1">
      <alignment horizontal="center" vertical="center" wrapText="1"/>
    </xf>
    <xf numFmtId="3" fontId="62" fillId="12" borderId="43" xfId="19" quotePrefix="1" applyNumberFormat="1" applyFont="1" applyFill="1" applyBorder="1" applyAlignment="1">
      <alignment horizontal="center" vertical="center" wrapText="1" justifyLastLine="1"/>
    </xf>
    <xf numFmtId="4" fontId="57" fillId="0" borderId="5" xfId="0" applyNumberFormat="1" applyFont="1" applyFill="1" applyBorder="1"/>
  </cellXfs>
  <cellStyles count="76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 2" xfId="2"/>
    <cellStyle name="Normal 3" xfId="20"/>
    <cellStyle name="Normal 3 3" xfId="3"/>
    <cellStyle name="Normal 6" xfId="4"/>
    <cellStyle name="Normalno" xfId="0" builtinId="0"/>
    <cellStyle name="Obično_01_ZAGREBAČKA ŽUPANIJA" xfId="73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 3" xfId="75"/>
    <cellStyle name="SAPBEXstdDataEmph" xfId="67"/>
    <cellStyle name="SAPBEXstdItem" xfId="19"/>
    <cellStyle name="SAPBEXstdItem 3" xfId="74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AB996"/>
  <sheetViews>
    <sheetView showGridLines="0" topLeftCell="XFD1" workbookViewId="0">
      <selection sqref="A1:XFD1048576"/>
    </sheetView>
  </sheetViews>
  <sheetFormatPr defaultColWidth="0" defaultRowHeight="15" zeroHeight="1"/>
  <cols>
    <col min="1" max="6" width="0" style="154" hidden="1"/>
    <col min="7" max="12" width="11.42578125" style="154" hidden="1"/>
    <col min="13" max="13" width="7.85546875" style="154" hidden="1"/>
    <col min="14" max="14" width="41.28515625" style="154" hidden="1"/>
    <col min="15" max="28" width="11.42578125" style="154" hidden="1"/>
    <col min="29" max="16384" width="14.42578125" style="154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</sheetData>
  <sheetProtection selectLockedCells="1"/>
  <dataConsolidate/>
  <phoneticPr fontId="31" type="noConversion"/>
  <pageMargins left="0.7" right="0.7" top="0.75" bottom="0.75" header="0.3" footer="0.3"/>
  <pageSetup paperSize="9" scale="82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zoomScaleNormal="100" workbookViewId="0">
      <pane ySplit="2" topLeftCell="A3" activePane="bottomLeft" state="frozen"/>
      <selection pane="bottomLeft" activeCell="G3" sqref="G3:I28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25" t="s">
        <v>378</v>
      </c>
      <c r="B1" s="225"/>
      <c r="C1" s="225"/>
      <c r="D1" s="225"/>
      <c r="E1" s="163" t="e">
        <f>IF('Opći dio'!#REF!="odaberite -","Molimo odaberite proračunskog korisnika na radnom listu Opći podaci!","")</f>
        <v>#REF!</v>
      </c>
    </row>
    <row r="2" spans="1:22" ht="36" customHeight="1">
      <c r="A2" s="68" t="s">
        <v>38</v>
      </c>
      <c r="B2" s="68" t="s">
        <v>39</v>
      </c>
      <c r="C2" s="68" t="s">
        <v>40</v>
      </c>
      <c r="D2" s="68" t="s">
        <v>41</v>
      </c>
      <c r="E2" s="150" t="s">
        <v>407</v>
      </c>
      <c r="F2" s="68" t="s">
        <v>408</v>
      </c>
      <c r="G2" s="165" t="s">
        <v>401</v>
      </c>
      <c r="H2" s="165" t="s">
        <v>402</v>
      </c>
      <c r="I2" s="165" t="s">
        <v>403</v>
      </c>
      <c r="K2" s="146" t="s">
        <v>379</v>
      </c>
      <c r="L2" s="146" t="s">
        <v>380</v>
      </c>
      <c r="R2" s="62" t="s">
        <v>396</v>
      </c>
    </row>
    <row r="3" spans="1:22">
      <c r="A3" s="142" t="e">
        <f>IF(E3="","",VLOOKUP('Opći dio'!#REF!,'Opći dio'!#REF!,10,FALSE))</f>
        <v>#REF!</v>
      </c>
      <c r="B3" s="142" t="e">
        <f>IF(E3="","",VLOOKUP('Opći dio'!#REF!,'Opći dio'!#REF!,9,FALSE))</f>
        <v>#REF!</v>
      </c>
      <c r="C3" s="160">
        <f t="shared" ref="C3:C66" si="0">IFERROR(VLOOKUP(E3,$R$6:$U$73,3,FALSE),"")</f>
        <v>31</v>
      </c>
      <c r="D3" s="140" t="str">
        <f t="shared" ref="D3:D66" si="1">IFERROR(VLOOKUP(E3,$R$6:$U$73,4,FALSE),"")</f>
        <v>Vlastiti prihodi</v>
      </c>
      <c r="E3" s="152">
        <v>641310031</v>
      </c>
      <c r="F3" s="164" t="str">
        <f>IFERROR(VLOOKUP(E3,$R$6:$U$73,2,FALSE),"")</f>
        <v>Kamate na oročena sredstva izvor 31</v>
      </c>
      <c r="G3" s="156"/>
      <c r="H3" s="156"/>
      <c r="I3" s="156"/>
      <c r="K3" s="144" t="str">
        <f>LEFT(E3,3)</f>
        <v>641</v>
      </c>
      <c r="L3" s="144" t="str">
        <f>LEFT(E3,2)</f>
        <v>64</v>
      </c>
      <c r="M3" t="s">
        <v>373</v>
      </c>
      <c r="R3" s="62" t="s">
        <v>397</v>
      </c>
    </row>
    <row r="4" spans="1:22">
      <c r="A4" s="142" t="e">
        <f>IF(E4="","",VLOOKUP('Opći dio'!#REF!,'Opći dio'!#REF!,10,FALSE))</f>
        <v>#REF!</v>
      </c>
      <c r="B4" s="142" t="e">
        <f>IF(E4="","",VLOOKUP('Opći dio'!#REF!,'Opći dio'!#REF!,9,FALSE))</f>
        <v>#REF!</v>
      </c>
      <c r="C4" s="160">
        <f t="shared" si="0"/>
        <v>31</v>
      </c>
      <c r="D4" s="140" t="str">
        <f t="shared" si="1"/>
        <v>Vlastiti prihodi</v>
      </c>
      <c r="E4" s="152">
        <v>641320031</v>
      </c>
      <c r="F4" s="141" t="str">
        <f t="shared" ref="F4:F66" si="2">IFERROR(VLOOKUP(E4,$R$6:$U$73,2,FALSE),"")</f>
        <v>Kamate na depozite po viđenju izvor 31</v>
      </c>
      <c r="G4" s="156">
        <v>5850</v>
      </c>
      <c r="H4" s="156">
        <v>5857</v>
      </c>
      <c r="I4" s="156">
        <v>5862</v>
      </c>
      <c r="K4" s="144" t="str">
        <f t="shared" ref="K4:K67" si="3">LEFT(E4,3)</f>
        <v>641</v>
      </c>
      <c r="L4" s="144" t="str">
        <f t="shared" ref="L4:L67" si="4">LEFT(E4,2)</f>
        <v>64</v>
      </c>
    </row>
    <row r="5" spans="1:22">
      <c r="A5" s="142" t="e">
        <f>IF(E5="","",VLOOKUP('Opći dio'!#REF!,'Opći dio'!#REF!,10,FALSE))</f>
        <v>#REF!</v>
      </c>
      <c r="B5" s="142" t="e">
        <f>IF(E5="","",VLOOKUP('Opći dio'!#REF!,'Opći dio'!#REF!,9,FALSE))</f>
        <v>#REF!</v>
      </c>
      <c r="C5" s="160">
        <f t="shared" si="0"/>
        <v>31</v>
      </c>
      <c r="D5" s="140" t="str">
        <f t="shared" si="1"/>
        <v>Vlastiti prihodi</v>
      </c>
      <c r="E5" s="152">
        <v>6614</v>
      </c>
      <c r="F5" s="141" t="str">
        <f t="shared" si="2"/>
        <v>Prihodi od prodaje proizvoda i robe</v>
      </c>
      <c r="G5" s="156">
        <v>2000</v>
      </c>
      <c r="H5" s="156">
        <v>2020</v>
      </c>
      <c r="I5" s="156">
        <v>2040</v>
      </c>
      <c r="K5" s="144" t="str">
        <f t="shared" si="3"/>
        <v>661</v>
      </c>
      <c r="L5" s="144" t="str">
        <f t="shared" si="4"/>
        <v>66</v>
      </c>
      <c r="M5" s="144" t="s">
        <v>40</v>
      </c>
      <c r="N5" s="144"/>
      <c r="O5" s="144" t="s">
        <v>41</v>
      </c>
      <c r="R5" s="69" t="s">
        <v>381</v>
      </c>
      <c r="S5" s="68" t="s">
        <v>398</v>
      </c>
      <c r="T5" s="68" t="s">
        <v>399</v>
      </c>
      <c r="U5" s="68" t="s">
        <v>41</v>
      </c>
      <c r="V5" s="151" t="s">
        <v>400</v>
      </c>
    </row>
    <row r="6" spans="1:22">
      <c r="A6" s="142" t="e">
        <f>IF(E6="","",VLOOKUP('Opći dio'!#REF!,'Opći dio'!#REF!,10,FALSE))</f>
        <v>#REF!</v>
      </c>
      <c r="B6" s="142" t="e">
        <f>IF(E6="","",VLOOKUP('Opći dio'!#REF!,'Opći dio'!#REF!,9,FALSE))</f>
        <v>#REF!</v>
      </c>
      <c r="C6" s="160">
        <f t="shared" si="0"/>
        <v>31</v>
      </c>
      <c r="D6" s="140" t="str">
        <f t="shared" si="1"/>
        <v>Vlastiti prihodi</v>
      </c>
      <c r="E6" s="152">
        <v>6615</v>
      </c>
      <c r="F6" s="141" t="str">
        <f t="shared" si="2"/>
        <v>Prihodi od pruženih usluga</v>
      </c>
      <c r="G6" s="156">
        <v>1198300</v>
      </c>
      <c r="H6" s="156">
        <v>1218659</v>
      </c>
      <c r="I6" s="156">
        <v>1232688</v>
      </c>
      <c r="K6" s="144" t="str">
        <f t="shared" si="3"/>
        <v>661</v>
      </c>
      <c r="L6" s="144" t="str">
        <f t="shared" si="4"/>
        <v>66</v>
      </c>
      <c r="M6" s="144">
        <v>11</v>
      </c>
      <c r="N6" s="144"/>
      <c r="O6" s="144" t="s">
        <v>48</v>
      </c>
      <c r="R6" s="158" t="s">
        <v>396</v>
      </c>
      <c r="S6" s="7" t="s">
        <v>266</v>
      </c>
      <c r="T6" s="62">
        <v>11</v>
      </c>
      <c r="U6" s="62" t="s">
        <v>48</v>
      </c>
      <c r="V6" t="str">
        <f>LEFT(R70,3)</f>
        <v>723</v>
      </c>
    </row>
    <row r="7" spans="1:22">
      <c r="A7" s="142" t="e">
        <f>IF(E7="","",VLOOKUP('Opći dio'!#REF!,'Opći dio'!#REF!,10,FALSE))</f>
        <v>#REF!</v>
      </c>
      <c r="B7" s="142" t="e">
        <f>IF(E7="","",VLOOKUP('Opći dio'!#REF!,'Opći dio'!#REF!,9,FALSE))</f>
        <v>#REF!</v>
      </c>
      <c r="C7" s="160">
        <f t="shared" si="0"/>
        <v>43</v>
      </c>
      <c r="D7" s="140" t="str">
        <f t="shared" si="1"/>
        <v>Ostali prihodi za posebne namjene</v>
      </c>
      <c r="E7" s="152">
        <v>65264</v>
      </c>
      <c r="F7" s="141" t="str">
        <f t="shared" si="2"/>
        <v>Sufinanciranje cijene usluge, participacije i slično</v>
      </c>
      <c r="G7" s="156">
        <v>4147990</v>
      </c>
      <c r="H7" s="156">
        <v>4182098</v>
      </c>
      <c r="I7" s="156">
        <v>4196474</v>
      </c>
      <c r="K7" s="144" t="str">
        <f t="shared" si="3"/>
        <v>652</v>
      </c>
      <c r="L7" s="144" t="str">
        <f t="shared" si="4"/>
        <v>65</v>
      </c>
      <c r="M7" s="144">
        <v>12</v>
      </c>
      <c r="N7" s="144"/>
      <c r="O7" s="144" t="s">
        <v>269</v>
      </c>
      <c r="R7" s="158" t="s">
        <v>397</v>
      </c>
      <c r="S7" s="7" t="s">
        <v>266</v>
      </c>
      <c r="T7" s="62">
        <v>12</v>
      </c>
      <c r="U7" s="62" t="s">
        <v>269</v>
      </c>
      <c r="V7" t="str">
        <f>LEFT(R71,3)</f>
        <v>725</v>
      </c>
    </row>
    <row r="8" spans="1:22">
      <c r="A8" s="142" t="e">
        <f>IF(E8="","",VLOOKUP('Opći dio'!#REF!,'Opći dio'!#REF!,10,FALSE))</f>
        <v>#REF!</v>
      </c>
      <c r="B8" s="142" t="e">
        <f>IF(E8="","",VLOOKUP('Opći dio'!#REF!,'Opći dio'!#REF!,9,FALSE))</f>
        <v>#REF!</v>
      </c>
      <c r="C8" s="160">
        <f t="shared" si="0"/>
        <v>43</v>
      </c>
      <c r="D8" s="140" t="str">
        <f t="shared" si="1"/>
        <v>Ostali prihodi za posebne namjene</v>
      </c>
      <c r="E8" s="152">
        <v>65268</v>
      </c>
      <c r="F8" s="141" t="str">
        <f t="shared" si="2"/>
        <v>Ostali prihodi za posebne namjene</v>
      </c>
      <c r="G8" s="156">
        <v>3782862</v>
      </c>
      <c r="H8" s="156">
        <v>3796471</v>
      </c>
      <c r="I8" s="156">
        <v>3801187</v>
      </c>
      <c r="K8" s="144" t="str">
        <f t="shared" si="3"/>
        <v>652</v>
      </c>
      <c r="L8" s="144" t="str">
        <f t="shared" si="4"/>
        <v>65</v>
      </c>
      <c r="M8" s="144">
        <v>31</v>
      </c>
      <c r="N8" s="144"/>
      <c r="O8" s="144" t="s">
        <v>93</v>
      </c>
      <c r="R8" s="157">
        <v>636</v>
      </c>
      <c r="S8" s="157" t="s">
        <v>383</v>
      </c>
      <c r="T8" s="6">
        <v>52</v>
      </c>
      <c r="U8" s="6" t="s">
        <v>111</v>
      </c>
      <c r="V8" t="str">
        <f t="shared" ref="V8:V13" si="5">LEFT(R8,3)</f>
        <v>636</v>
      </c>
    </row>
    <row r="9" spans="1:22">
      <c r="A9" s="142" t="e">
        <f>IF(E9="","",VLOOKUP('Opći dio'!#REF!,'Opći dio'!#REF!,10,FALSE))</f>
        <v>#REF!</v>
      </c>
      <c r="B9" s="142" t="e">
        <f>IF(E9="","",VLOOKUP('Opći dio'!#REF!,'Opći dio'!#REF!,9,FALSE))</f>
        <v>#REF!</v>
      </c>
      <c r="C9" s="160">
        <f t="shared" si="0"/>
        <v>43</v>
      </c>
      <c r="D9" s="140" t="str">
        <f t="shared" si="1"/>
        <v>Ostali prihodi za posebne namjene</v>
      </c>
      <c r="E9" s="152">
        <v>683110043</v>
      </c>
      <c r="F9" s="141" t="str">
        <f t="shared" si="2"/>
        <v>Ostali prihodi izvor 43</v>
      </c>
      <c r="G9" s="156"/>
      <c r="H9" s="156"/>
      <c r="I9" s="156"/>
      <c r="K9" s="144" t="str">
        <f t="shared" si="3"/>
        <v>683</v>
      </c>
      <c r="L9" s="144" t="str">
        <f t="shared" si="4"/>
        <v>68</v>
      </c>
      <c r="M9" s="144">
        <v>43</v>
      </c>
      <c r="N9" s="144"/>
      <c r="O9" s="144" t="s">
        <v>98</v>
      </c>
      <c r="R9" s="157">
        <v>651</v>
      </c>
      <c r="S9" s="157" t="s">
        <v>384</v>
      </c>
      <c r="T9" s="6">
        <v>43</v>
      </c>
      <c r="U9" s="6" t="s">
        <v>98</v>
      </c>
      <c r="V9" t="str">
        <f t="shared" si="5"/>
        <v>651</v>
      </c>
    </row>
    <row r="10" spans="1:22">
      <c r="A10" s="142" t="e">
        <f>IF(E10="","",VLOOKUP('Opći dio'!#REF!,'Opći dio'!#REF!,10,FALSE))</f>
        <v>#REF!</v>
      </c>
      <c r="B10" s="142" t="e">
        <f>IF(E10="","",VLOOKUP('Opći dio'!#REF!,'Opći dio'!#REF!,9,FALSE))</f>
        <v>#REF!</v>
      </c>
      <c r="C10" s="160">
        <f t="shared" si="0"/>
        <v>52</v>
      </c>
      <c r="D10" s="140" t="str">
        <f t="shared" si="1"/>
        <v>Ostale pomoći</v>
      </c>
      <c r="E10" s="152">
        <v>631120000</v>
      </c>
      <c r="F10" s="141" t="str">
        <f t="shared" si="2"/>
        <v>Tekuće pomoći od inozemnih vlada izvan EU</v>
      </c>
      <c r="G10" s="156"/>
      <c r="H10" s="156"/>
      <c r="I10" s="156"/>
      <c r="K10" s="144" t="str">
        <f t="shared" si="3"/>
        <v>631</v>
      </c>
      <c r="L10" s="144" t="str">
        <f t="shared" si="4"/>
        <v>63</v>
      </c>
      <c r="M10" s="144">
        <v>51</v>
      </c>
      <c r="N10" s="144"/>
      <c r="O10" s="144" t="s">
        <v>88</v>
      </c>
      <c r="R10" s="6">
        <v>6341</v>
      </c>
      <c r="S10" s="6" t="s">
        <v>250</v>
      </c>
      <c r="T10" s="6">
        <v>52</v>
      </c>
      <c r="U10" s="6" t="s">
        <v>111</v>
      </c>
      <c r="V10" t="str">
        <f t="shared" si="5"/>
        <v>634</v>
      </c>
    </row>
    <row r="11" spans="1:22">
      <c r="A11" s="142" t="e">
        <f>IF(E11="","",VLOOKUP('Opći dio'!#REF!,'Opći dio'!#REF!,10,FALSE))</f>
        <v>#REF!</v>
      </c>
      <c r="B11" s="142" t="e">
        <f>IF(E11="","",VLOOKUP('Opći dio'!#REF!,'Opći dio'!#REF!,9,FALSE))</f>
        <v>#REF!</v>
      </c>
      <c r="C11" s="160">
        <f t="shared" si="0"/>
        <v>52</v>
      </c>
      <c r="D11" s="140" t="str">
        <f t="shared" si="1"/>
        <v>Ostale pomoći</v>
      </c>
      <c r="E11" s="152">
        <v>6341</v>
      </c>
      <c r="F11" s="141"/>
      <c r="G11" s="156"/>
      <c r="H11" s="156"/>
      <c r="I11" s="156"/>
      <c r="K11" s="144" t="str">
        <f t="shared" si="3"/>
        <v>634</v>
      </c>
      <c r="L11" s="144" t="str">
        <f t="shared" si="4"/>
        <v>63</v>
      </c>
      <c r="M11" s="144">
        <v>52</v>
      </c>
      <c r="N11" s="144"/>
      <c r="O11" s="144" t="s">
        <v>111</v>
      </c>
      <c r="R11" s="6">
        <v>6342</v>
      </c>
      <c r="S11" s="6" t="s">
        <v>251</v>
      </c>
      <c r="T11" s="6">
        <v>52</v>
      </c>
      <c r="U11" s="6" t="s">
        <v>111</v>
      </c>
      <c r="V11" t="str">
        <f t="shared" si="5"/>
        <v>634</v>
      </c>
    </row>
    <row r="12" spans="1:22">
      <c r="A12" s="142" t="e">
        <f>IF(E12="","",VLOOKUP('Opći dio'!#REF!,'Opći dio'!#REF!,10,FALSE))</f>
        <v>#REF!</v>
      </c>
      <c r="B12" s="142" t="e">
        <f>IF(E12="","",VLOOKUP('Opći dio'!#REF!,'Opći dio'!#REF!,9,FALSE))</f>
        <v>#REF!</v>
      </c>
      <c r="C12" s="160">
        <f t="shared" si="0"/>
        <v>52</v>
      </c>
      <c r="D12" s="140" t="str">
        <f t="shared" si="1"/>
        <v>Ostale pomoći</v>
      </c>
      <c r="E12" s="152">
        <v>636</v>
      </c>
      <c r="F12" s="141" t="str">
        <f t="shared" si="2"/>
        <v>Pomoći proračunskim korisnicima iz proračuna koji im nije nadležan</v>
      </c>
      <c r="G12" s="156">
        <v>12000</v>
      </c>
      <c r="H12" s="156">
        <v>12000</v>
      </c>
      <c r="I12" s="156">
        <v>12000</v>
      </c>
      <c r="K12" s="144" t="str">
        <f t="shared" si="3"/>
        <v>636</v>
      </c>
      <c r="L12" s="144" t="str">
        <f t="shared" si="4"/>
        <v>63</v>
      </c>
      <c r="M12" s="144">
        <v>61</v>
      </c>
      <c r="N12" s="144"/>
      <c r="O12" s="144" t="s">
        <v>117</v>
      </c>
      <c r="R12" s="166">
        <v>6381</v>
      </c>
      <c r="S12" s="166" t="s">
        <v>16</v>
      </c>
      <c r="T12" s="166">
        <v>52</v>
      </c>
      <c r="U12" s="166" t="s">
        <v>111</v>
      </c>
      <c r="V12" s="167" t="str">
        <f t="shared" si="5"/>
        <v>638</v>
      </c>
    </row>
    <row r="13" spans="1:22">
      <c r="A13" s="142" t="e">
        <f>IF(E13="","",VLOOKUP('Opći dio'!#REF!,'Opći dio'!#REF!,10,FALSE))</f>
        <v>#REF!</v>
      </c>
      <c r="B13" s="142" t="e">
        <f>IF(E13="","",VLOOKUP('Opći dio'!#REF!,'Opći dio'!#REF!,9,FALSE))</f>
        <v>#REF!</v>
      </c>
      <c r="C13" s="160">
        <f t="shared" si="0"/>
        <v>52</v>
      </c>
      <c r="D13" s="140" t="str">
        <f t="shared" si="1"/>
        <v>Ostale pomoći</v>
      </c>
      <c r="E13" s="152">
        <v>6361</v>
      </c>
      <c r="F13" s="141" t="str">
        <f t="shared" si="2"/>
        <v>Tekuće pomoći proračunskim korisnicima iz proračuna koji im nije nadležan</v>
      </c>
      <c r="G13" s="156"/>
      <c r="H13" s="156"/>
      <c r="I13" s="156"/>
      <c r="K13" s="144" t="str">
        <f t="shared" si="3"/>
        <v>636</v>
      </c>
      <c r="L13" s="144" t="str">
        <f t="shared" si="4"/>
        <v>63</v>
      </c>
      <c r="M13" s="144">
        <v>71</v>
      </c>
      <c r="N13" s="144"/>
      <c r="O13" s="144" t="s">
        <v>176</v>
      </c>
      <c r="R13" s="166">
        <v>6382</v>
      </c>
      <c r="S13" s="166" t="s">
        <v>406</v>
      </c>
      <c r="T13" s="166">
        <v>52</v>
      </c>
      <c r="U13" s="166" t="s">
        <v>111</v>
      </c>
      <c r="V13" s="167" t="str">
        <f t="shared" si="5"/>
        <v>638</v>
      </c>
    </row>
    <row r="14" spans="1:22">
      <c r="A14" s="142" t="e">
        <f>IF(E14="","",VLOOKUP('Opći dio'!#REF!,'Opći dio'!#REF!,10,FALSE))</f>
        <v>#REF!</v>
      </c>
      <c r="B14" s="142" t="e">
        <f>IF(E14="","",VLOOKUP('Opći dio'!#REF!,'Opći dio'!#REF!,9,FALSE))</f>
        <v>#REF!</v>
      </c>
      <c r="C14" s="160">
        <f t="shared" si="0"/>
        <v>52</v>
      </c>
      <c r="D14" s="140" t="str">
        <f t="shared" si="1"/>
        <v>Ostale pomoći</v>
      </c>
      <c r="E14" s="152">
        <v>6381</v>
      </c>
      <c r="F14" s="141" t="str">
        <f t="shared" si="2"/>
        <v>Tekuće pomoći temeljem prijenosa EU sredstava</v>
      </c>
      <c r="G14" s="156"/>
      <c r="H14" s="156"/>
      <c r="I14" s="156"/>
      <c r="K14" s="144" t="str">
        <f t="shared" si="3"/>
        <v>638</v>
      </c>
      <c r="L14" s="144" t="str">
        <f t="shared" si="4"/>
        <v>63</v>
      </c>
      <c r="M14" s="144">
        <v>81</v>
      </c>
      <c r="N14" s="144"/>
      <c r="O14" s="144" t="s">
        <v>58</v>
      </c>
      <c r="R14" s="6">
        <v>6361</v>
      </c>
      <c r="S14" s="6" t="s">
        <v>14</v>
      </c>
      <c r="T14" s="6">
        <v>52</v>
      </c>
      <c r="U14" s="6" t="s">
        <v>111</v>
      </c>
      <c r="V14" t="str">
        <f t="shared" ref="V14:V41" si="6">LEFT(R14,3)</f>
        <v>636</v>
      </c>
    </row>
    <row r="15" spans="1:22">
      <c r="A15" s="142" t="e">
        <f>IF(E15="","",VLOOKUP('Opći dio'!#REF!,'Opći dio'!#REF!,10,FALSE))</f>
        <v>#REF!</v>
      </c>
      <c r="B15" s="142" t="e">
        <f>IF(E15="","",VLOOKUP('Opći dio'!#REF!,'Opći dio'!#REF!,9,FALSE))</f>
        <v>#REF!</v>
      </c>
      <c r="C15" s="160">
        <f t="shared" si="0"/>
        <v>52</v>
      </c>
      <c r="D15" s="140" t="str">
        <f t="shared" si="1"/>
        <v>Ostale pomoći</v>
      </c>
      <c r="E15" s="152">
        <v>6391</v>
      </c>
      <c r="F15" s="141" t="str">
        <f t="shared" si="2"/>
        <v>Tekući prijenosi između proračunskih korisnika istog proračuna</v>
      </c>
      <c r="G15" s="156">
        <v>1000000</v>
      </c>
      <c r="H15" s="156">
        <v>1000000</v>
      </c>
      <c r="I15" s="156">
        <v>1000000</v>
      </c>
      <c r="K15" s="144" t="str">
        <f t="shared" si="3"/>
        <v>639</v>
      </c>
      <c r="L15" s="144" t="str">
        <f t="shared" si="4"/>
        <v>63</v>
      </c>
      <c r="M15" s="144">
        <v>561</v>
      </c>
      <c r="N15" s="144"/>
      <c r="O15" s="144" t="s">
        <v>113</v>
      </c>
      <c r="R15" s="6">
        <v>6362</v>
      </c>
      <c r="S15" s="6" t="s">
        <v>15</v>
      </c>
      <c r="T15" s="6">
        <v>52</v>
      </c>
      <c r="U15" s="6" t="s">
        <v>111</v>
      </c>
      <c r="V15" t="str">
        <f t="shared" si="6"/>
        <v>636</v>
      </c>
    </row>
    <row r="16" spans="1:22">
      <c r="A16" s="142" t="e">
        <f>IF(E16="","",VLOOKUP('Opći dio'!#REF!,'Opći dio'!#REF!,10,FALSE))</f>
        <v>#REF!</v>
      </c>
      <c r="B16" s="142" t="e">
        <f>IF(E16="","",VLOOKUP('Opći dio'!#REF!,'Opći dio'!#REF!,9,FALSE))</f>
        <v>#REF!</v>
      </c>
      <c r="C16" s="160">
        <f t="shared" si="0"/>
        <v>52</v>
      </c>
      <c r="D16" s="140" t="str">
        <f t="shared" si="1"/>
        <v>Ostale pomoći</v>
      </c>
      <c r="E16" s="152">
        <v>6392</v>
      </c>
      <c r="F16" s="141" t="str">
        <f t="shared" si="2"/>
        <v>Kapitalni prijenosi između proračunskih korisnika istog proračuna</v>
      </c>
      <c r="G16" s="156"/>
      <c r="H16" s="156"/>
      <c r="I16" s="156"/>
      <c r="K16" s="144" t="str">
        <f t="shared" si="3"/>
        <v>639</v>
      </c>
      <c r="L16" s="144" t="str">
        <f t="shared" si="4"/>
        <v>63</v>
      </c>
      <c r="M16" s="144">
        <v>563</v>
      </c>
      <c r="N16" s="144"/>
      <c r="O16" s="144" t="s">
        <v>115</v>
      </c>
      <c r="R16" s="6">
        <v>6391</v>
      </c>
      <c r="S16" s="6" t="s">
        <v>18</v>
      </c>
      <c r="T16" s="6">
        <v>52</v>
      </c>
      <c r="U16" s="6" t="s">
        <v>111</v>
      </c>
      <c r="V16" t="str">
        <f t="shared" si="6"/>
        <v>639</v>
      </c>
    </row>
    <row r="17" spans="1:22">
      <c r="A17" s="142" t="e">
        <f>IF(E17="","",VLOOKUP('Opći dio'!#REF!,'Opći dio'!#REF!,10,FALSE))</f>
        <v>#REF!</v>
      </c>
      <c r="B17" s="142" t="e">
        <f>IF(E17="","",VLOOKUP('Opći dio'!#REF!,'Opći dio'!#REF!,9,FALSE))</f>
        <v>#REF!</v>
      </c>
      <c r="C17" s="160">
        <f t="shared" si="0"/>
        <v>52</v>
      </c>
      <c r="D17" s="140" t="str">
        <f t="shared" si="1"/>
        <v>Ostale pomoći</v>
      </c>
      <c r="E17" s="152">
        <v>6393</v>
      </c>
      <c r="F17" s="141" t="str">
        <f t="shared" si="2"/>
        <v>Tekući prijenosi između proračunskih korisnika istog proračuna temeljem prijenosa EU sredstava</v>
      </c>
      <c r="G17" s="156">
        <v>958571</v>
      </c>
      <c r="H17" s="156">
        <v>752035</v>
      </c>
      <c r="I17" s="156">
        <v>0</v>
      </c>
      <c r="K17" s="144" t="str">
        <f t="shared" si="3"/>
        <v>639</v>
      </c>
      <c r="L17" s="144" t="str">
        <f t="shared" si="4"/>
        <v>63</v>
      </c>
      <c r="R17" s="6">
        <v>6392</v>
      </c>
      <c r="S17" s="6" t="s">
        <v>19</v>
      </c>
      <c r="T17" s="6">
        <v>52</v>
      </c>
      <c r="U17" s="6" t="s">
        <v>111</v>
      </c>
      <c r="V17" t="str">
        <f t="shared" si="6"/>
        <v>639</v>
      </c>
    </row>
    <row r="18" spans="1:22">
      <c r="A18" s="142" t="e">
        <f>IF(E18="","",VLOOKUP('Opći dio'!#REF!,'Opći dio'!#REF!,10,FALSE))</f>
        <v>#REF!</v>
      </c>
      <c r="B18" s="142" t="e">
        <f>IF(E18="","",VLOOKUP('Opći dio'!#REF!,'Opći dio'!#REF!,9,FALSE))</f>
        <v>#REF!</v>
      </c>
      <c r="C18" s="160">
        <f t="shared" si="0"/>
        <v>61</v>
      </c>
      <c r="D18" s="140" t="str">
        <f t="shared" si="1"/>
        <v>Donacije</v>
      </c>
      <c r="E18" s="152">
        <v>663110000</v>
      </c>
      <c r="F18" s="141" t="str">
        <f t="shared" si="2"/>
        <v>Tekuće donacije od fizičkih osoba</v>
      </c>
      <c r="G18" s="156"/>
      <c r="H18" s="156"/>
      <c r="I18" s="156"/>
      <c r="K18" s="144" t="str">
        <f t="shared" si="3"/>
        <v>663</v>
      </c>
      <c r="L18" s="144" t="str">
        <f t="shared" si="4"/>
        <v>66</v>
      </c>
      <c r="R18" s="6">
        <v>6393</v>
      </c>
      <c r="S18" s="6" t="s">
        <v>20</v>
      </c>
      <c r="T18" s="6">
        <v>52</v>
      </c>
      <c r="U18" s="6" t="s">
        <v>111</v>
      </c>
      <c r="V18" t="str">
        <f t="shared" si="6"/>
        <v>639</v>
      </c>
    </row>
    <row r="19" spans="1:22">
      <c r="A19" s="142" t="e">
        <f>IF(E19="","",VLOOKUP('Opći dio'!#REF!,'Opći dio'!#REF!,10,FALSE))</f>
        <v>#REF!</v>
      </c>
      <c r="B19" s="142" t="e">
        <f>IF(E19="","",VLOOKUP('Opći dio'!#REF!,'Opći dio'!#REF!,9,FALSE))</f>
        <v>#REF!</v>
      </c>
      <c r="C19" s="160">
        <f t="shared" si="0"/>
        <v>61</v>
      </c>
      <c r="D19" s="140" t="str">
        <f t="shared" si="1"/>
        <v>Donacije</v>
      </c>
      <c r="E19" s="152">
        <v>663120000</v>
      </c>
      <c r="F19" s="141" t="str">
        <f t="shared" si="2"/>
        <v>Tekuće donacije od neprofitnih organizacija</v>
      </c>
      <c r="G19" s="156">
        <v>790873</v>
      </c>
      <c r="H19" s="156">
        <v>807482</v>
      </c>
      <c r="I19" s="156">
        <v>813941</v>
      </c>
      <c r="K19" s="144" t="str">
        <f t="shared" si="3"/>
        <v>663</v>
      </c>
      <c r="L19" s="144" t="str">
        <f t="shared" si="4"/>
        <v>66</v>
      </c>
      <c r="R19" s="6">
        <v>6394</v>
      </c>
      <c r="S19" s="6" t="s">
        <v>21</v>
      </c>
      <c r="T19" s="6">
        <v>52</v>
      </c>
      <c r="U19" s="6" t="s">
        <v>111</v>
      </c>
      <c r="V19" t="str">
        <f t="shared" si="6"/>
        <v>639</v>
      </c>
    </row>
    <row r="20" spans="1:22">
      <c r="A20" s="142" t="e">
        <f>IF(E20="","",VLOOKUP('Opći dio'!#REF!,'Opći dio'!#REF!,10,FALSE))</f>
        <v>#REF!</v>
      </c>
      <c r="B20" s="142" t="e">
        <f>IF(E20="","",VLOOKUP('Opći dio'!#REF!,'Opći dio'!#REF!,9,FALSE))</f>
        <v>#REF!</v>
      </c>
      <c r="C20" s="160">
        <f t="shared" si="0"/>
        <v>61</v>
      </c>
      <c r="D20" s="140" t="str">
        <f t="shared" si="1"/>
        <v>Donacije</v>
      </c>
      <c r="E20" s="152">
        <v>663130000</v>
      </c>
      <c r="F20" s="141" t="str">
        <f t="shared" si="2"/>
        <v>Tekuće donacije od trgovačkih društava</v>
      </c>
      <c r="G20" s="156"/>
      <c r="H20" s="156"/>
      <c r="I20" s="156"/>
      <c r="K20" s="144" t="str">
        <f t="shared" si="3"/>
        <v>663</v>
      </c>
      <c r="L20" s="144" t="str">
        <f t="shared" si="4"/>
        <v>66</v>
      </c>
      <c r="R20" s="6">
        <v>6614</v>
      </c>
      <c r="S20" s="6" t="s">
        <v>4</v>
      </c>
      <c r="T20" s="6">
        <v>31</v>
      </c>
      <c r="U20" s="6" t="s">
        <v>93</v>
      </c>
      <c r="V20" t="str">
        <f t="shared" si="6"/>
        <v>661</v>
      </c>
    </row>
    <row r="21" spans="1:22">
      <c r="A21" s="142" t="e">
        <f>IF(E21="","",VLOOKUP('Opći dio'!#REF!,'Opći dio'!#REF!,10,FALSE))</f>
        <v>#REF!</v>
      </c>
      <c r="B21" s="142" t="e">
        <f>IF(E21="","",VLOOKUP('Opći dio'!#REF!,'Opći dio'!#REF!,9,FALSE))</f>
        <v>#REF!</v>
      </c>
      <c r="C21" s="160">
        <f t="shared" si="0"/>
        <v>61</v>
      </c>
      <c r="D21" s="140" t="str">
        <f t="shared" si="1"/>
        <v>Donacije</v>
      </c>
      <c r="E21" s="152">
        <v>663140000</v>
      </c>
      <c r="F21" s="141" t="str">
        <f t="shared" si="2"/>
        <v>Tekuće donacije od ostalih subjekata izvan opće države</v>
      </c>
      <c r="G21" s="156"/>
      <c r="H21" s="156"/>
      <c r="I21" s="156"/>
      <c r="K21" s="144" t="str">
        <f t="shared" si="3"/>
        <v>663</v>
      </c>
      <c r="L21" s="144" t="str">
        <f t="shared" si="4"/>
        <v>66</v>
      </c>
      <c r="R21" s="6">
        <v>6615</v>
      </c>
      <c r="S21" s="6" t="s">
        <v>5</v>
      </c>
      <c r="T21" s="6">
        <v>31</v>
      </c>
      <c r="U21" s="6" t="s">
        <v>93</v>
      </c>
      <c r="V21" t="str">
        <f t="shared" si="6"/>
        <v>661</v>
      </c>
    </row>
    <row r="22" spans="1:22">
      <c r="A22" s="142" t="e">
        <f>IF(E22="","",VLOOKUP('Opći dio'!#REF!,'Opći dio'!#REF!,10,FALSE))</f>
        <v>#REF!</v>
      </c>
      <c r="B22" s="142" t="e">
        <f>IF(E22="","",VLOOKUP('Opći dio'!#REF!,'Opći dio'!#REF!,9,FALSE))</f>
        <v>#REF!</v>
      </c>
      <c r="C22" s="160">
        <f t="shared" si="0"/>
        <v>61</v>
      </c>
      <c r="D22" s="140" t="str">
        <f t="shared" si="1"/>
        <v>Donacije</v>
      </c>
      <c r="E22" s="152">
        <v>663210000</v>
      </c>
      <c r="F22" s="141" t="str">
        <f t="shared" si="2"/>
        <v>Kapitalne donacije od fizičkih osoba - ostale</v>
      </c>
      <c r="G22" s="156"/>
      <c r="H22" s="156"/>
      <c r="I22" s="156"/>
      <c r="K22" s="144" t="str">
        <f t="shared" si="3"/>
        <v>663</v>
      </c>
      <c r="L22" s="144" t="str">
        <f t="shared" si="4"/>
        <v>66</v>
      </c>
      <c r="R22" s="6">
        <v>65148</v>
      </c>
      <c r="S22" s="6" t="s">
        <v>6</v>
      </c>
      <c r="T22" s="6">
        <v>43</v>
      </c>
      <c r="U22" s="6" t="s">
        <v>98</v>
      </c>
      <c r="V22" t="str">
        <f t="shared" si="6"/>
        <v>651</v>
      </c>
    </row>
    <row r="23" spans="1:22">
      <c r="A23" s="142" t="e">
        <f>IF(E23="","",VLOOKUP('Opći dio'!#REF!,'Opći dio'!#REF!,10,FALSE))</f>
        <v>#REF!</v>
      </c>
      <c r="B23" s="142" t="e">
        <f>IF(E23="","",VLOOKUP('Opći dio'!#REF!,'Opći dio'!#REF!,9,FALSE))</f>
        <v>#REF!</v>
      </c>
      <c r="C23" s="160">
        <f t="shared" si="0"/>
        <v>61</v>
      </c>
      <c r="D23" s="140" t="str">
        <f t="shared" si="1"/>
        <v>Donacije</v>
      </c>
      <c r="E23" s="152">
        <v>663230000</v>
      </c>
      <c r="F23" s="141" t="str">
        <f t="shared" si="2"/>
        <v>Kapitalne donacije od trgovačkih društava</v>
      </c>
      <c r="G23" s="156"/>
      <c r="H23" s="156"/>
      <c r="I23" s="156"/>
      <c r="K23" s="144" t="str">
        <f t="shared" si="3"/>
        <v>663</v>
      </c>
      <c r="L23" s="144" t="str">
        <f t="shared" si="4"/>
        <v>66</v>
      </c>
      <c r="R23" s="6">
        <v>65218</v>
      </c>
      <c r="S23" s="6" t="s">
        <v>241</v>
      </c>
      <c r="T23" s="6">
        <v>43</v>
      </c>
      <c r="U23" s="6" t="s">
        <v>98</v>
      </c>
      <c r="V23" t="str">
        <f t="shared" si="6"/>
        <v>652</v>
      </c>
    </row>
    <row r="24" spans="1:22">
      <c r="A24" s="142" t="e">
        <f>IF(E24="","",VLOOKUP('Opći dio'!#REF!,'Opći dio'!#REF!,10,FALSE))</f>
        <v>#REF!</v>
      </c>
      <c r="B24" s="142" t="e">
        <f>IF(E24="","",VLOOKUP('Opći dio'!#REF!,'Opći dio'!#REF!,9,FALSE))</f>
        <v>#REF!</v>
      </c>
      <c r="C24" s="160">
        <f t="shared" si="0"/>
        <v>61</v>
      </c>
      <c r="D24" s="140" t="str">
        <f t="shared" si="1"/>
        <v>Donacije</v>
      </c>
      <c r="E24" s="152">
        <v>663240000</v>
      </c>
      <c r="F24" s="141" t="str">
        <f t="shared" si="2"/>
        <v>Kapitalne donacije od ostalih subjekata izvan opće države</v>
      </c>
      <c r="G24" s="156"/>
      <c r="H24" s="156"/>
      <c r="I24" s="156"/>
      <c r="K24" s="144" t="str">
        <f t="shared" si="3"/>
        <v>663</v>
      </c>
      <c r="L24" s="144" t="str">
        <f t="shared" si="4"/>
        <v>66</v>
      </c>
      <c r="R24" s="6">
        <v>65264</v>
      </c>
      <c r="S24" s="6" t="s">
        <v>242</v>
      </c>
      <c r="T24" s="6">
        <v>43</v>
      </c>
      <c r="U24" s="6" t="s">
        <v>98</v>
      </c>
      <c r="V24" t="str">
        <f t="shared" si="6"/>
        <v>652</v>
      </c>
    </row>
    <row r="25" spans="1:22">
      <c r="A25" s="142" t="e">
        <f>IF(E25="","",VLOOKUP('Opći dio'!#REF!,'Opći dio'!#REF!,10,FALSE))</f>
        <v>#REF!</v>
      </c>
      <c r="B25" s="142" t="e">
        <f>IF(E25="","",VLOOKUP('Opći dio'!#REF!,'Opći dio'!#REF!,9,FALSE))</f>
        <v>#REF!</v>
      </c>
      <c r="C25" s="160">
        <f t="shared" si="0"/>
        <v>12</v>
      </c>
      <c r="D25" s="140" t="str">
        <f t="shared" si="1"/>
        <v>Sredstva učešća za pomoći</v>
      </c>
      <c r="E25" s="152" t="s">
        <v>397</v>
      </c>
      <c r="F25" s="141" t="str">
        <f t="shared" si="2"/>
        <v>Prihodi iz nadležnog proračuna za financiranje redovne djelatnosti proračunskih korisnika</v>
      </c>
      <c r="G25" s="156">
        <v>23000913</v>
      </c>
      <c r="H25" s="156">
        <v>1193213</v>
      </c>
      <c r="I25" s="156">
        <v>1267520</v>
      </c>
      <c r="K25" s="144" t="str">
        <f t="shared" si="3"/>
        <v>671</v>
      </c>
      <c r="L25" s="144" t="str">
        <f t="shared" si="4"/>
        <v>67</v>
      </c>
      <c r="R25" s="6">
        <v>65268</v>
      </c>
      <c r="S25" s="6" t="s">
        <v>98</v>
      </c>
      <c r="T25" s="6">
        <v>43</v>
      </c>
      <c r="U25" s="6" t="s">
        <v>98</v>
      </c>
      <c r="V25" t="str">
        <f t="shared" si="6"/>
        <v>652</v>
      </c>
    </row>
    <row r="26" spans="1:22">
      <c r="A26" s="142" t="e">
        <f>IF(E26="","",VLOOKUP('Opći dio'!#REF!,'Opći dio'!#REF!,10,FALSE))</f>
        <v>#REF!</v>
      </c>
      <c r="B26" s="142" t="e">
        <f>IF(E26="","",VLOOKUP('Opći dio'!#REF!,'Opći dio'!#REF!,9,FALSE))</f>
        <v>#REF!</v>
      </c>
      <c r="C26" s="160">
        <f t="shared" si="0"/>
        <v>563</v>
      </c>
      <c r="D26" s="140" t="str">
        <f t="shared" si="1"/>
        <v>Europski fond za regionalni razvoj (ERDF)</v>
      </c>
      <c r="E26" s="152">
        <v>632310563</v>
      </c>
      <c r="F26" s="141" t="str">
        <f t="shared" si="2"/>
        <v>Tekuće pomoći od institucija i tijela EU - ERDF</v>
      </c>
      <c r="G26" s="156">
        <v>6726156</v>
      </c>
      <c r="H26" s="156">
        <v>5911538</v>
      </c>
      <c r="I26" s="156">
        <v>5907618</v>
      </c>
      <c r="K26" s="144" t="str">
        <f t="shared" si="3"/>
        <v>632</v>
      </c>
      <c r="L26" s="144" t="str">
        <f t="shared" si="4"/>
        <v>63</v>
      </c>
      <c r="R26" s="6">
        <v>631110000</v>
      </c>
      <c r="S26" s="6" t="s">
        <v>9</v>
      </c>
      <c r="T26" s="6">
        <v>52</v>
      </c>
      <c r="U26" s="6" t="s">
        <v>111</v>
      </c>
      <c r="V26" t="str">
        <f t="shared" si="6"/>
        <v>631</v>
      </c>
    </row>
    <row r="27" spans="1:22">
      <c r="A27" s="142" t="e">
        <f>IF(E27="","",VLOOKUP('Opći dio'!#REF!,'Opći dio'!#REF!,10,FALSE))</f>
        <v>#REF!</v>
      </c>
      <c r="B27" s="142" t="e">
        <f>IF(E27="","",VLOOKUP('Opći dio'!#REF!,'Opći dio'!#REF!,9,FALSE))</f>
        <v>#REF!</v>
      </c>
      <c r="C27" s="160">
        <f t="shared" si="0"/>
        <v>563</v>
      </c>
      <c r="D27" s="140" t="str">
        <f t="shared" si="1"/>
        <v>Europski fond za regionalni razvoj (ERDF)</v>
      </c>
      <c r="E27" s="152">
        <v>632410563</v>
      </c>
      <c r="F27" s="141" t="str">
        <f t="shared" si="2"/>
        <v>Kapitalne pomoći od institucija i tijela EU - ERDF</v>
      </c>
      <c r="G27" s="156">
        <v>69113513</v>
      </c>
      <c r="H27" s="156">
        <v>850000</v>
      </c>
      <c r="I27" s="156">
        <v>1275000</v>
      </c>
      <c r="K27" s="144" t="str">
        <f t="shared" si="3"/>
        <v>632</v>
      </c>
      <c r="L27" s="144" t="str">
        <f t="shared" si="4"/>
        <v>63</v>
      </c>
      <c r="R27" s="6">
        <v>631120000</v>
      </c>
      <c r="S27" s="6" t="s">
        <v>10</v>
      </c>
      <c r="T27" s="6">
        <v>52</v>
      </c>
      <c r="U27" s="6" t="s">
        <v>111</v>
      </c>
      <c r="V27" t="str">
        <f t="shared" si="6"/>
        <v>631</v>
      </c>
    </row>
    <row r="28" spans="1:22">
      <c r="A28" s="142" t="e">
        <f>IF(E28="","",VLOOKUP('Opći dio'!#REF!,'Opći dio'!#REF!,10,FALSE))</f>
        <v>#REF!</v>
      </c>
      <c r="B28" s="142" t="e">
        <f>IF(E28="","",VLOOKUP('Opći dio'!#REF!,'Opći dio'!#REF!,9,FALSE))</f>
        <v>#REF!</v>
      </c>
      <c r="C28" s="160">
        <f t="shared" si="0"/>
        <v>11</v>
      </c>
      <c r="D28" s="140" t="str">
        <f t="shared" si="1"/>
        <v>Opći prihodi i primici</v>
      </c>
      <c r="E28" s="152" t="s">
        <v>396</v>
      </c>
      <c r="F28" s="141" t="str">
        <f t="shared" si="2"/>
        <v>Prihodi iz nadležnog proračuna za financiranje redovne djelatnosti proračunskih korisnika</v>
      </c>
      <c r="G28" s="156">
        <v>57137099.542614892</v>
      </c>
      <c r="H28" s="156">
        <v>60367162.257892199</v>
      </c>
      <c r="I28" s="156">
        <v>60486646.601805158</v>
      </c>
      <c r="K28" s="144" t="str">
        <f t="shared" si="3"/>
        <v>671</v>
      </c>
      <c r="L28" s="144" t="str">
        <f t="shared" si="4"/>
        <v>67</v>
      </c>
      <c r="R28" s="6">
        <v>631210000</v>
      </c>
      <c r="S28" s="6" t="s">
        <v>11</v>
      </c>
      <c r="T28" s="6">
        <v>52</v>
      </c>
      <c r="U28" s="6" t="s">
        <v>111</v>
      </c>
      <c r="V28" t="str">
        <f t="shared" si="6"/>
        <v>631</v>
      </c>
    </row>
    <row r="29" spans="1:22">
      <c r="A29" s="142" t="str">
        <f>IF(E29="","",VLOOKUP('Opći dio'!#REF!,'Opći dio'!#REF!,10,FALSE))</f>
        <v/>
      </c>
      <c r="B29" s="142" t="str">
        <f>IF(E29="","",VLOOKUP('Opći dio'!#REF!,'Opći dio'!#REF!,9,FALSE))</f>
        <v/>
      </c>
      <c r="C29" s="160" t="str">
        <f t="shared" si="0"/>
        <v/>
      </c>
      <c r="D29" s="140" t="str">
        <f t="shared" si="1"/>
        <v/>
      </c>
      <c r="E29" s="152"/>
      <c r="F29" s="141" t="str">
        <f t="shared" si="2"/>
        <v/>
      </c>
      <c r="G29" s="156"/>
      <c r="H29" s="156"/>
      <c r="I29" s="156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12</v>
      </c>
      <c r="T29" s="6">
        <v>52</v>
      </c>
      <c r="U29" s="6" t="s">
        <v>111</v>
      </c>
      <c r="V29" t="str">
        <f t="shared" si="6"/>
        <v>631</v>
      </c>
    </row>
    <row r="30" spans="1:22">
      <c r="A30" s="142" t="str">
        <f>IF(E30="","",VLOOKUP('Opći dio'!#REF!,'Opći dio'!#REF!,10,FALSE))</f>
        <v/>
      </c>
      <c r="B30" s="142" t="str">
        <f>IF(E30="","",VLOOKUP('Opći dio'!#REF!,'Opći dio'!#REF!,9,FALSE))</f>
        <v/>
      </c>
      <c r="C30" s="160" t="str">
        <f t="shared" si="0"/>
        <v/>
      </c>
      <c r="D30" s="140" t="str">
        <f t="shared" si="1"/>
        <v/>
      </c>
      <c r="E30" s="152"/>
      <c r="F30" s="141" t="str">
        <f t="shared" si="2"/>
        <v/>
      </c>
      <c r="G30" s="156"/>
      <c r="H30" s="156"/>
      <c r="I30" s="156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249</v>
      </c>
      <c r="T30" s="6">
        <v>52</v>
      </c>
      <c r="U30" s="6" t="s">
        <v>111</v>
      </c>
      <c r="V30" t="str">
        <f t="shared" si="6"/>
        <v>632</v>
      </c>
    </row>
    <row r="31" spans="1:22">
      <c r="A31" s="142" t="str">
        <f>IF(E31="","",VLOOKUP('Opći dio'!#REF!,'Opći dio'!#REF!,10,FALSE))</f>
        <v/>
      </c>
      <c r="B31" s="142" t="str">
        <f>IF(E31="","",VLOOKUP('Opći dio'!#REF!,'Opći dio'!#REF!,9,FALSE))</f>
        <v/>
      </c>
      <c r="C31" s="160" t="str">
        <f t="shared" si="0"/>
        <v/>
      </c>
      <c r="D31" s="140" t="str">
        <f t="shared" si="1"/>
        <v/>
      </c>
      <c r="E31" s="152"/>
      <c r="F31" s="141" t="str">
        <f t="shared" si="2"/>
        <v/>
      </c>
      <c r="G31" s="156"/>
      <c r="H31" s="156"/>
      <c r="I31" s="156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13</v>
      </c>
      <c r="T31" s="6">
        <v>52</v>
      </c>
      <c r="U31" s="6" t="s">
        <v>111</v>
      </c>
      <c r="V31" t="str">
        <f t="shared" si="6"/>
        <v>632</v>
      </c>
    </row>
    <row r="32" spans="1:22">
      <c r="A32" s="142" t="str">
        <f>IF(E32="","",VLOOKUP('Opći dio'!#REF!,'Opći dio'!#REF!,10,FALSE))</f>
        <v/>
      </c>
      <c r="B32" s="142" t="str">
        <f>IF(E32="","",VLOOKUP('Opći dio'!#REF!,'Opći dio'!#REF!,9,FALSE))</f>
        <v/>
      </c>
      <c r="C32" s="160" t="str">
        <f t="shared" si="0"/>
        <v/>
      </c>
      <c r="D32" s="140" t="str">
        <f t="shared" si="1"/>
        <v/>
      </c>
      <c r="E32" s="152"/>
      <c r="F32" s="141" t="str">
        <f t="shared" si="2"/>
        <v/>
      </c>
      <c r="G32" s="156"/>
      <c r="H32" s="156"/>
      <c r="I32" s="156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22</v>
      </c>
      <c r="T32" s="6">
        <v>561</v>
      </c>
      <c r="U32" s="6" t="s">
        <v>113</v>
      </c>
      <c r="V32" t="str">
        <f t="shared" si="6"/>
        <v>632</v>
      </c>
    </row>
    <row r="33" spans="1:22">
      <c r="A33" s="142" t="str">
        <f>IF(E33="","",VLOOKUP('Opći dio'!#REF!,'Opći dio'!#REF!,10,FALSE))</f>
        <v/>
      </c>
      <c r="B33" s="142" t="str">
        <f>IF(E33="","",VLOOKUP('Opći dio'!#REF!,'Opći dio'!#REF!,9,FALSE))</f>
        <v/>
      </c>
      <c r="C33" s="160" t="str">
        <f t="shared" si="0"/>
        <v/>
      </c>
      <c r="D33" s="140" t="str">
        <f t="shared" si="1"/>
        <v/>
      </c>
      <c r="E33" s="152"/>
      <c r="F33" s="141" t="str">
        <f t="shared" si="2"/>
        <v/>
      </c>
      <c r="G33" s="156"/>
      <c r="H33" s="156"/>
      <c r="I33" s="156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24</v>
      </c>
      <c r="T33" s="6">
        <v>563</v>
      </c>
      <c r="U33" s="6" t="s">
        <v>115</v>
      </c>
      <c r="V33" t="str">
        <f t="shared" si="6"/>
        <v>632</v>
      </c>
    </row>
    <row r="34" spans="1:22">
      <c r="A34" s="142" t="str">
        <f>IF(E34="","",VLOOKUP('Opći dio'!#REF!,'Opći dio'!#REF!,10,FALSE))</f>
        <v/>
      </c>
      <c r="B34" s="142" t="str">
        <f>IF(E34="","",VLOOKUP('Opći dio'!#REF!,'Opći dio'!#REF!,9,FALSE))</f>
        <v/>
      </c>
      <c r="C34" s="160" t="str">
        <f t="shared" si="0"/>
        <v/>
      </c>
      <c r="D34" s="140" t="str">
        <f t="shared" si="1"/>
        <v/>
      </c>
      <c r="E34" s="152"/>
      <c r="F34" s="141" t="str">
        <f t="shared" si="2"/>
        <v/>
      </c>
      <c r="G34" s="156"/>
      <c r="H34" s="156"/>
      <c r="I34" s="156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246</v>
      </c>
      <c r="T34" s="6">
        <v>51</v>
      </c>
      <c r="U34" s="6" t="s">
        <v>88</v>
      </c>
      <c r="V34" t="str">
        <f t="shared" si="6"/>
        <v>632</v>
      </c>
    </row>
    <row r="35" spans="1:22">
      <c r="A35" s="142" t="str">
        <f>IF(E35="","",VLOOKUP('Opći dio'!#REF!,'Opći dio'!#REF!,10,FALSE))</f>
        <v/>
      </c>
      <c r="B35" s="142" t="str">
        <f>IF(E35="","",VLOOKUP('Opći dio'!#REF!,'Opći dio'!#REF!,9,FALSE))</f>
        <v/>
      </c>
      <c r="C35" s="160" t="str">
        <f t="shared" si="0"/>
        <v/>
      </c>
      <c r="D35" s="140" t="str">
        <f t="shared" si="1"/>
        <v/>
      </c>
      <c r="E35" s="152"/>
      <c r="F35" s="141" t="str">
        <f t="shared" si="2"/>
        <v/>
      </c>
      <c r="G35" s="156"/>
      <c r="H35" s="156"/>
      <c r="I35" s="156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247</v>
      </c>
      <c r="T35" s="6">
        <v>51</v>
      </c>
      <c r="U35" s="6" t="s">
        <v>88</v>
      </c>
      <c r="V35" t="str">
        <f t="shared" si="6"/>
        <v>632</v>
      </c>
    </row>
    <row r="36" spans="1:22">
      <c r="A36" s="142" t="str">
        <f>IF(E36="","",VLOOKUP('Opći dio'!#REF!,'Opći dio'!#REF!,10,FALSE))</f>
        <v/>
      </c>
      <c r="B36" s="142" t="str">
        <f>IF(E36="","",VLOOKUP('Opći dio'!#REF!,'Opći dio'!#REF!,9,FALSE))</f>
        <v/>
      </c>
      <c r="C36" s="160" t="str">
        <f t="shared" si="0"/>
        <v/>
      </c>
      <c r="D36" s="140" t="str">
        <f t="shared" si="1"/>
        <v/>
      </c>
      <c r="E36" s="152"/>
      <c r="F36" s="141" t="str">
        <f t="shared" si="2"/>
        <v/>
      </c>
      <c r="G36" s="156"/>
      <c r="H36" s="156"/>
      <c r="I36" s="156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7</v>
      </c>
      <c r="T36" s="6">
        <v>51</v>
      </c>
      <c r="U36" s="6" t="s">
        <v>88</v>
      </c>
      <c r="V36" t="str">
        <f t="shared" si="6"/>
        <v>632</v>
      </c>
    </row>
    <row r="37" spans="1:22">
      <c r="A37" s="142" t="str">
        <f>IF(E37="","",VLOOKUP('Opći dio'!#REF!,'Opći dio'!#REF!,10,FALSE))</f>
        <v/>
      </c>
      <c r="B37" s="142" t="str">
        <f>IF(E37="","",VLOOKUP('Opći dio'!#REF!,'Opći dio'!#REF!,9,FALSE))</f>
        <v/>
      </c>
      <c r="C37" s="160" t="str">
        <f t="shared" si="0"/>
        <v/>
      </c>
      <c r="D37" s="140" t="str">
        <f t="shared" si="1"/>
        <v/>
      </c>
      <c r="E37" s="152"/>
      <c r="F37" s="141" t="str">
        <f t="shared" si="2"/>
        <v/>
      </c>
      <c r="G37" s="156"/>
      <c r="H37" s="156"/>
      <c r="I37" s="156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248</v>
      </c>
      <c r="T37" s="6">
        <v>51</v>
      </c>
      <c r="U37" s="6" t="s">
        <v>88</v>
      </c>
      <c r="V37" t="str">
        <f t="shared" si="6"/>
        <v>632</v>
      </c>
    </row>
    <row r="38" spans="1:22">
      <c r="A38" s="142" t="str">
        <f>IF(E38="","",VLOOKUP('Opći dio'!#REF!,'Opći dio'!#REF!,10,FALSE))</f>
        <v/>
      </c>
      <c r="B38" s="142" t="str">
        <f>IF(E38="","",VLOOKUP('Opći dio'!#REF!,'Opći dio'!#REF!,9,FALSE))</f>
        <v/>
      </c>
      <c r="C38" s="160" t="str">
        <f t="shared" si="0"/>
        <v/>
      </c>
      <c r="D38" s="140" t="str">
        <f t="shared" si="1"/>
        <v/>
      </c>
      <c r="E38" s="152"/>
      <c r="F38" s="141" t="str">
        <f t="shared" si="2"/>
        <v/>
      </c>
      <c r="G38" s="156"/>
      <c r="H38" s="156"/>
      <c r="I38" s="156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23</v>
      </c>
      <c r="T38" s="6">
        <v>561</v>
      </c>
      <c r="U38" s="6" t="s">
        <v>113</v>
      </c>
      <c r="V38" t="str">
        <f t="shared" si="6"/>
        <v>632</v>
      </c>
    </row>
    <row r="39" spans="1:22">
      <c r="A39" s="142" t="str">
        <f>IF(E39="","",VLOOKUP('Opći dio'!#REF!,'Opći dio'!#REF!,10,FALSE))</f>
        <v/>
      </c>
      <c r="B39" s="142" t="str">
        <f>IF(E39="","",VLOOKUP('Opći dio'!#REF!,'Opći dio'!#REF!,9,FALSE))</f>
        <v/>
      </c>
      <c r="C39" s="160" t="str">
        <f t="shared" si="0"/>
        <v/>
      </c>
      <c r="D39" s="140" t="str">
        <f t="shared" si="1"/>
        <v/>
      </c>
      <c r="E39" s="152"/>
      <c r="F39" s="141" t="str">
        <f t="shared" si="2"/>
        <v/>
      </c>
      <c r="G39" s="156"/>
      <c r="H39" s="156"/>
      <c r="I39" s="156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25</v>
      </c>
      <c r="T39" s="6">
        <v>563</v>
      </c>
      <c r="U39" s="6" t="s">
        <v>115</v>
      </c>
      <c r="V39" t="str">
        <f t="shared" si="6"/>
        <v>632</v>
      </c>
    </row>
    <row r="40" spans="1:22">
      <c r="A40" s="142" t="str">
        <f>IF(E40="","",VLOOKUP('Opći dio'!#REF!,'Opći dio'!#REF!,10,FALSE))</f>
        <v/>
      </c>
      <c r="B40" s="142" t="str">
        <f>IF(E40="","",VLOOKUP('Opći dio'!#REF!,'Opći dio'!#REF!,9,FALSE))</f>
        <v/>
      </c>
      <c r="C40" s="160" t="str">
        <f t="shared" si="0"/>
        <v/>
      </c>
      <c r="D40" s="140" t="str">
        <f t="shared" si="1"/>
        <v/>
      </c>
      <c r="E40" s="152"/>
      <c r="F40" s="141" t="str">
        <f t="shared" si="2"/>
        <v/>
      </c>
      <c r="G40" s="156"/>
      <c r="H40" s="156"/>
      <c r="I40" s="156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8</v>
      </c>
      <c r="T40" s="6">
        <v>51</v>
      </c>
      <c r="U40" s="6" t="s">
        <v>88</v>
      </c>
      <c r="V40" t="str">
        <f t="shared" si="6"/>
        <v>632</v>
      </c>
    </row>
    <row r="41" spans="1:22">
      <c r="A41" s="142" t="str">
        <f>IF(E41="","",VLOOKUP('Opći dio'!#REF!,'Opći dio'!#REF!,10,FALSE))</f>
        <v/>
      </c>
      <c r="B41" s="142" t="str">
        <f>IF(E41="","",VLOOKUP('Opći dio'!#REF!,'Opći dio'!#REF!,9,FALSE))</f>
        <v/>
      </c>
      <c r="C41" s="160" t="str">
        <f t="shared" si="0"/>
        <v/>
      </c>
      <c r="D41" s="140" t="str">
        <f t="shared" si="1"/>
        <v/>
      </c>
      <c r="E41" s="152"/>
      <c r="F41" s="141" t="str">
        <f t="shared" si="2"/>
        <v/>
      </c>
      <c r="G41" s="156"/>
      <c r="H41" s="156"/>
      <c r="I41" s="156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234</v>
      </c>
      <c r="T41" s="6">
        <v>31</v>
      </c>
      <c r="U41" s="6" t="s">
        <v>93</v>
      </c>
      <c r="V41" t="str">
        <f t="shared" si="6"/>
        <v>641</v>
      </c>
    </row>
    <row r="42" spans="1:22">
      <c r="A42" s="142" t="str">
        <f>IF(E42="","",VLOOKUP('Opći dio'!#REF!,'Opći dio'!#REF!,10,FALSE))</f>
        <v/>
      </c>
      <c r="B42" s="142" t="str">
        <f>IF(E42="","",VLOOKUP('Opći dio'!#REF!,'Opći dio'!#REF!,9,FALSE))</f>
        <v/>
      </c>
      <c r="C42" s="160" t="str">
        <f t="shared" si="0"/>
        <v/>
      </c>
      <c r="D42" s="140" t="str">
        <f t="shared" si="1"/>
        <v/>
      </c>
      <c r="E42" s="152"/>
      <c r="F42" s="141" t="str">
        <f t="shared" si="2"/>
        <v/>
      </c>
      <c r="G42" s="156"/>
      <c r="H42" s="156"/>
      <c r="I42" s="156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235</v>
      </c>
      <c r="T42" s="6">
        <v>31</v>
      </c>
      <c r="U42" s="6" t="s">
        <v>93</v>
      </c>
      <c r="V42" t="str">
        <f t="shared" ref="V42:V73" si="7">LEFT(R42,3)</f>
        <v>641</v>
      </c>
    </row>
    <row r="43" spans="1:22">
      <c r="A43" s="142" t="str">
        <f>IF(E43="","",VLOOKUP('Opći dio'!#REF!,'Opći dio'!#REF!,10,FALSE))</f>
        <v/>
      </c>
      <c r="B43" s="142" t="str">
        <f>IF(E43="","",VLOOKUP('Opći dio'!#REF!,'Opći dio'!#REF!,9,FALSE))</f>
        <v/>
      </c>
      <c r="C43" s="160" t="str">
        <f t="shared" si="0"/>
        <v/>
      </c>
      <c r="D43" s="140" t="str">
        <f t="shared" si="1"/>
        <v/>
      </c>
      <c r="E43" s="152"/>
      <c r="F43" s="141" t="str">
        <f t="shared" si="2"/>
        <v/>
      </c>
      <c r="G43" s="156"/>
      <c r="H43" s="156"/>
      <c r="I43" s="156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236</v>
      </c>
      <c r="T43" s="6">
        <v>31</v>
      </c>
      <c r="U43" s="6" t="s">
        <v>93</v>
      </c>
      <c r="V43" t="str">
        <f t="shared" si="7"/>
        <v>641</v>
      </c>
    </row>
    <row r="44" spans="1:22">
      <c r="A44" s="142" t="str">
        <f>IF(E44="","",VLOOKUP('Opći dio'!#REF!,'Opći dio'!#REF!,10,FALSE))</f>
        <v/>
      </c>
      <c r="B44" s="142" t="str">
        <f>IF(E44="","",VLOOKUP('Opći dio'!#REF!,'Opći dio'!#REF!,9,FALSE))</f>
        <v/>
      </c>
      <c r="C44" s="160" t="str">
        <f t="shared" si="0"/>
        <v/>
      </c>
      <c r="D44" s="140" t="str">
        <f t="shared" si="1"/>
        <v/>
      </c>
      <c r="E44" s="152"/>
      <c r="F44" s="141" t="str">
        <f t="shared" si="2"/>
        <v/>
      </c>
      <c r="G44" s="156"/>
      <c r="H44" s="156"/>
      <c r="I44" s="156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237</v>
      </c>
      <c r="T44" s="6">
        <v>31</v>
      </c>
      <c r="U44" s="6" t="s">
        <v>93</v>
      </c>
      <c r="V44" t="str">
        <f t="shared" si="7"/>
        <v>641</v>
      </c>
    </row>
    <row r="45" spans="1:22">
      <c r="A45" s="142" t="str">
        <f>IF(E45="","",VLOOKUP('Opći dio'!#REF!,'Opći dio'!#REF!,10,FALSE))</f>
        <v/>
      </c>
      <c r="B45" s="142" t="str">
        <f>IF(E45="","",VLOOKUP('Opći dio'!#REF!,'Opći dio'!#REF!,9,FALSE))</f>
        <v/>
      </c>
      <c r="C45" s="160" t="str">
        <f t="shared" si="0"/>
        <v/>
      </c>
      <c r="D45" s="140" t="str">
        <f t="shared" si="1"/>
        <v/>
      </c>
      <c r="E45" s="152"/>
      <c r="F45" s="141" t="str">
        <f t="shared" si="2"/>
        <v/>
      </c>
      <c r="G45" s="156"/>
      <c r="H45" s="156"/>
      <c r="I45" s="156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240</v>
      </c>
      <c r="T45" s="6">
        <v>43</v>
      </c>
      <c r="U45" s="6" t="s">
        <v>98</v>
      </c>
      <c r="V45" t="str">
        <f t="shared" si="7"/>
        <v>641</v>
      </c>
    </row>
    <row r="46" spans="1:22">
      <c r="A46" s="142" t="str">
        <f>IF(E46="","",VLOOKUP('Opći dio'!#REF!,'Opći dio'!#REF!,10,FALSE))</f>
        <v/>
      </c>
      <c r="B46" s="142" t="str">
        <f>IF(E46="","",VLOOKUP('Opći dio'!#REF!,'Opći dio'!#REF!,9,FALSE))</f>
        <v/>
      </c>
      <c r="C46" s="160" t="str">
        <f t="shared" si="0"/>
        <v/>
      </c>
      <c r="D46" s="140" t="str">
        <f t="shared" si="1"/>
        <v/>
      </c>
      <c r="E46" s="152"/>
      <c r="F46" s="141" t="str">
        <f t="shared" si="2"/>
        <v/>
      </c>
      <c r="G46" s="156"/>
      <c r="H46" s="156"/>
      <c r="I46" s="156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238</v>
      </c>
      <c r="T46" s="6">
        <v>31</v>
      </c>
      <c r="U46" s="6" t="s">
        <v>93</v>
      </c>
      <c r="V46" t="str">
        <f t="shared" si="7"/>
        <v>642</v>
      </c>
    </row>
    <row r="47" spans="1:22">
      <c r="A47" s="142" t="str">
        <f>IF(E47="","",VLOOKUP('Opći dio'!#REF!,'Opći dio'!#REF!,10,FALSE))</f>
        <v/>
      </c>
      <c r="B47" s="142" t="str">
        <f>IF(E47="","",VLOOKUP('Opći dio'!#REF!,'Opći dio'!#REF!,9,FALSE))</f>
        <v/>
      </c>
      <c r="C47" s="160" t="str">
        <f t="shared" si="0"/>
        <v/>
      </c>
      <c r="D47" s="140" t="str">
        <f t="shared" si="1"/>
        <v/>
      </c>
      <c r="E47" s="152"/>
      <c r="F47" s="141" t="str">
        <f t="shared" si="2"/>
        <v/>
      </c>
      <c r="G47" s="156"/>
      <c r="H47" s="156"/>
      <c r="I47" s="156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239</v>
      </c>
      <c r="T47" s="6">
        <v>31</v>
      </c>
      <c r="U47" s="6" t="s">
        <v>93</v>
      </c>
      <c r="V47" t="str">
        <f t="shared" si="7"/>
        <v>642</v>
      </c>
    </row>
    <row r="48" spans="1:22">
      <c r="A48" s="142" t="str">
        <f>IF(E48="","",VLOOKUP('Opći dio'!#REF!,'Opći dio'!#REF!,10,FALSE))</f>
        <v/>
      </c>
      <c r="B48" s="142" t="str">
        <f>IF(E48="","",VLOOKUP('Opći dio'!#REF!,'Opći dio'!#REF!,9,FALSE))</f>
        <v/>
      </c>
      <c r="C48" s="160" t="str">
        <f t="shared" si="0"/>
        <v/>
      </c>
      <c r="D48" s="140" t="str">
        <f t="shared" si="1"/>
        <v/>
      </c>
      <c r="E48" s="152"/>
      <c r="F48" s="141" t="str">
        <f t="shared" si="2"/>
        <v/>
      </c>
      <c r="G48" s="156"/>
      <c r="H48" s="156"/>
      <c r="I48" s="156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243</v>
      </c>
      <c r="T48" s="6">
        <v>43</v>
      </c>
      <c r="U48" s="6" t="s">
        <v>98</v>
      </c>
      <c r="V48" t="str">
        <f t="shared" si="7"/>
        <v>652</v>
      </c>
    </row>
    <row r="49" spans="1:22">
      <c r="A49" s="142" t="str">
        <f>IF(E49="","",VLOOKUP('Opći dio'!#REF!,'Opći dio'!#REF!,10,FALSE))</f>
        <v/>
      </c>
      <c r="B49" s="142" t="str">
        <f>IF(E49="","",VLOOKUP('Opći dio'!#REF!,'Opći dio'!#REF!,9,FALSE))</f>
        <v/>
      </c>
      <c r="C49" s="160" t="str">
        <f t="shared" si="0"/>
        <v/>
      </c>
      <c r="D49" s="140" t="str">
        <f t="shared" si="1"/>
        <v/>
      </c>
      <c r="E49" s="152"/>
      <c r="F49" s="141" t="str">
        <f t="shared" si="2"/>
        <v/>
      </c>
      <c r="G49" s="156"/>
      <c r="H49" s="156"/>
      <c r="I49" s="156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26</v>
      </c>
      <c r="T49" s="6">
        <v>61</v>
      </c>
      <c r="U49" s="6" t="s">
        <v>117</v>
      </c>
      <c r="V49" t="str">
        <f t="shared" si="7"/>
        <v>663</v>
      </c>
    </row>
    <row r="50" spans="1:22">
      <c r="A50" s="142" t="str">
        <f>IF(E50="","",VLOOKUP('Opći dio'!#REF!,'Opći dio'!#REF!,10,FALSE))</f>
        <v/>
      </c>
      <c r="B50" s="142" t="str">
        <f>IF(E50="","",VLOOKUP('Opći dio'!#REF!,'Opći dio'!#REF!,9,FALSE))</f>
        <v/>
      </c>
      <c r="C50" s="160" t="str">
        <f t="shared" si="0"/>
        <v/>
      </c>
      <c r="D50" s="140" t="str">
        <f t="shared" si="1"/>
        <v/>
      </c>
      <c r="E50" s="152"/>
      <c r="F50" s="141" t="str">
        <f t="shared" si="2"/>
        <v/>
      </c>
      <c r="G50" s="156"/>
      <c r="H50" s="156"/>
      <c r="I50" s="156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27</v>
      </c>
      <c r="T50" s="6">
        <v>61</v>
      </c>
      <c r="U50" s="6" t="s">
        <v>117</v>
      </c>
      <c r="V50" t="str">
        <f t="shared" si="7"/>
        <v>663</v>
      </c>
    </row>
    <row r="51" spans="1:22">
      <c r="A51" s="142" t="str">
        <f>IF(E51="","",VLOOKUP('Opći dio'!#REF!,'Opći dio'!#REF!,10,FALSE))</f>
        <v/>
      </c>
      <c r="B51" s="142" t="str">
        <f>IF(E51="","",VLOOKUP('Opći dio'!#REF!,'Opći dio'!#REF!,9,FALSE))</f>
        <v/>
      </c>
      <c r="C51" s="160" t="str">
        <f t="shared" si="0"/>
        <v/>
      </c>
      <c r="D51" s="140" t="str">
        <f t="shared" si="1"/>
        <v/>
      </c>
      <c r="E51" s="152"/>
      <c r="F51" s="141" t="str">
        <f t="shared" si="2"/>
        <v/>
      </c>
      <c r="G51" s="156"/>
      <c r="H51" s="156"/>
      <c r="I51" s="156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28</v>
      </c>
      <c r="T51" s="6">
        <v>61</v>
      </c>
      <c r="U51" s="6" t="s">
        <v>117</v>
      </c>
      <c r="V51" t="str">
        <f t="shared" si="7"/>
        <v>663</v>
      </c>
    </row>
    <row r="52" spans="1:22">
      <c r="A52" s="142" t="str">
        <f>IF(E52="","",VLOOKUP('Opći dio'!#REF!,'Opći dio'!#REF!,10,FALSE))</f>
        <v/>
      </c>
      <c r="B52" s="142" t="str">
        <f>IF(E52="","",VLOOKUP('Opći dio'!#REF!,'Opći dio'!#REF!,9,FALSE))</f>
        <v/>
      </c>
      <c r="C52" s="160" t="str">
        <f t="shared" si="0"/>
        <v/>
      </c>
      <c r="D52" s="140" t="str">
        <f t="shared" si="1"/>
        <v/>
      </c>
      <c r="E52" s="152"/>
      <c r="F52" s="141" t="str">
        <f t="shared" si="2"/>
        <v/>
      </c>
      <c r="G52" s="156"/>
      <c r="H52" s="156"/>
      <c r="I52" s="156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29</v>
      </c>
      <c r="T52" s="6">
        <v>61</v>
      </c>
      <c r="U52" s="6" t="s">
        <v>117</v>
      </c>
      <c r="V52" t="str">
        <f t="shared" si="7"/>
        <v>663</v>
      </c>
    </row>
    <row r="53" spans="1:22">
      <c r="A53" s="142" t="str">
        <f>IF(E53="","",VLOOKUP('Opći dio'!#REF!,'Opći dio'!#REF!,10,FALSE))</f>
        <v/>
      </c>
      <c r="B53" s="142" t="str">
        <f>IF(E53="","",VLOOKUP('Opći dio'!#REF!,'Opći dio'!#REF!,9,FALSE))</f>
        <v/>
      </c>
      <c r="C53" s="160" t="str">
        <f t="shared" si="0"/>
        <v/>
      </c>
      <c r="D53" s="140" t="str">
        <f t="shared" si="1"/>
        <v/>
      </c>
      <c r="E53" s="152"/>
      <c r="F53" s="141" t="str">
        <f t="shared" si="2"/>
        <v/>
      </c>
      <c r="G53" s="156"/>
      <c r="H53" s="156"/>
      <c r="I53" s="156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33</v>
      </c>
      <c r="T53" s="6">
        <v>61</v>
      </c>
      <c r="U53" s="6" t="s">
        <v>117</v>
      </c>
      <c r="V53" t="str">
        <f t="shared" si="7"/>
        <v>663</v>
      </c>
    </row>
    <row r="54" spans="1:22">
      <c r="A54" s="142" t="str">
        <f>IF(E54="","",VLOOKUP('Opći dio'!#REF!,'Opći dio'!#REF!,10,FALSE))</f>
        <v/>
      </c>
      <c r="B54" s="142" t="str">
        <f>IF(E54="","",VLOOKUP('Opći dio'!#REF!,'Opći dio'!#REF!,9,FALSE))</f>
        <v/>
      </c>
      <c r="C54" s="160" t="str">
        <f t="shared" si="0"/>
        <v/>
      </c>
      <c r="D54" s="140" t="str">
        <f t="shared" si="1"/>
        <v/>
      </c>
      <c r="E54" s="152"/>
      <c r="F54" s="141" t="str">
        <f t="shared" si="2"/>
        <v/>
      </c>
      <c r="G54" s="156"/>
      <c r="H54" s="156"/>
      <c r="I54" s="156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30</v>
      </c>
      <c r="T54" s="6">
        <v>61</v>
      </c>
      <c r="U54" s="6" t="s">
        <v>117</v>
      </c>
      <c r="V54" t="str">
        <f t="shared" si="7"/>
        <v>663</v>
      </c>
    </row>
    <row r="55" spans="1:22">
      <c r="A55" s="142" t="str">
        <f>IF(E55="","",VLOOKUP('Opći dio'!#REF!,'Opći dio'!#REF!,10,FALSE))</f>
        <v/>
      </c>
      <c r="B55" s="142" t="str">
        <f>IF(E55="","",VLOOKUP('Opći dio'!#REF!,'Opći dio'!#REF!,9,FALSE))</f>
        <v/>
      </c>
      <c r="C55" s="160" t="str">
        <f t="shared" si="0"/>
        <v/>
      </c>
      <c r="D55" s="140" t="str">
        <f t="shared" si="1"/>
        <v/>
      </c>
      <c r="E55" s="152"/>
      <c r="F55" s="141" t="str">
        <f t="shared" si="2"/>
        <v/>
      </c>
      <c r="G55" s="156"/>
      <c r="H55" s="156"/>
      <c r="I55" s="156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31</v>
      </c>
      <c r="T55" s="6">
        <v>61</v>
      </c>
      <c r="U55" s="6" t="s">
        <v>117</v>
      </c>
      <c r="V55" t="str">
        <f t="shared" si="7"/>
        <v>663</v>
      </c>
    </row>
    <row r="56" spans="1:22">
      <c r="A56" s="142" t="str">
        <f>IF(E56="","",VLOOKUP('Opći dio'!#REF!,'Opći dio'!#REF!,10,FALSE))</f>
        <v/>
      </c>
      <c r="B56" s="142" t="str">
        <f>IF(E56="","",VLOOKUP('Opći dio'!#REF!,'Opći dio'!#REF!,9,FALSE))</f>
        <v/>
      </c>
      <c r="C56" s="160" t="str">
        <f t="shared" si="0"/>
        <v/>
      </c>
      <c r="D56" s="140" t="str">
        <f t="shared" si="1"/>
        <v/>
      </c>
      <c r="E56" s="152"/>
      <c r="F56" s="141" t="str">
        <f t="shared" si="2"/>
        <v/>
      </c>
      <c r="G56" s="156"/>
      <c r="H56" s="156"/>
      <c r="I56" s="156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32</v>
      </c>
      <c r="T56" s="6">
        <v>61</v>
      </c>
      <c r="U56" s="6" t="s">
        <v>117</v>
      </c>
      <c r="V56" t="str">
        <f t="shared" si="7"/>
        <v>663</v>
      </c>
    </row>
    <row r="57" spans="1:22">
      <c r="A57" s="142" t="str">
        <f>IF(E57="","",VLOOKUP('Opći dio'!#REF!,'Opći dio'!#REF!,10,FALSE))</f>
        <v/>
      </c>
      <c r="B57" s="142" t="str">
        <f>IF(E57="","",VLOOKUP('Opći dio'!#REF!,'Opći dio'!#REF!,9,FALSE))</f>
        <v/>
      </c>
      <c r="C57" s="160" t="str">
        <f t="shared" si="0"/>
        <v/>
      </c>
      <c r="D57" s="140" t="str">
        <f t="shared" si="1"/>
        <v/>
      </c>
      <c r="E57" s="152"/>
      <c r="F57" s="141" t="str">
        <f t="shared" si="2"/>
        <v/>
      </c>
      <c r="G57" s="156"/>
      <c r="H57" s="156"/>
      <c r="I57" s="156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244</v>
      </c>
      <c r="T57" s="6">
        <v>43</v>
      </c>
      <c r="U57" s="6" t="s">
        <v>98</v>
      </c>
      <c r="V57" t="str">
        <f t="shared" si="7"/>
        <v>681</v>
      </c>
    </row>
    <row r="58" spans="1:22">
      <c r="A58" s="142" t="str">
        <f>IF(E58="","",VLOOKUP('Opći dio'!#REF!,'Opći dio'!#REF!,10,FALSE))</f>
        <v/>
      </c>
      <c r="B58" s="142" t="str">
        <f>IF(E58="","",VLOOKUP('Opći dio'!#REF!,'Opći dio'!#REF!,9,FALSE))</f>
        <v/>
      </c>
      <c r="C58" s="160" t="str">
        <f t="shared" si="0"/>
        <v/>
      </c>
      <c r="D58" s="140" t="str">
        <f t="shared" si="1"/>
        <v/>
      </c>
      <c r="E58" s="152"/>
      <c r="F58" s="141" t="str">
        <f t="shared" si="2"/>
        <v/>
      </c>
      <c r="G58" s="156"/>
      <c r="H58" s="156"/>
      <c r="I58" s="156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245</v>
      </c>
      <c r="T58" s="6">
        <v>43</v>
      </c>
      <c r="U58" s="6" t="s">
        <v>98</v>
      </c>
      <c r="V58" t="str">
        <f t="shared" si="7"/>
        <v>683</v>
      </c>
    </row>
    <row r="59" spans="1:22">
      <c r="A59" s="142" t="str">
        <f>IF(E59="","",VLOOKUP('Opći dio'!#REF!,'Opći dio'!#REF!,10,FALSE))</f>
        <v/>
      </c>
      <c r="B59" s="142" t="str">
        <f>IF(E59="","",VLOOKUP('Opći dio'!#REF!,'Opći dio'!#REF!,9,FALSE))</f>
        <v/>
      </c>
      <c r="C59" s="160" t="str">
        <f t="shared" si="0"/>
        <v/>
      </c>
      <c r="D59" s="140" t="str">
        <f t="shared" si="1"/>
        <v/>
      </c>
      <c r="E59" s="152"/>
      <c r="F59" s="141" t="str">
        <f t="shared" si="2"/>
        <v/>
      </c>
      <c r="G59" s="156"/>
      <c r="H59" s="156"/>
      <c r="I59" s="156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252</v>
      </c>
      <c r="T59" s="6">
        <v>71</v>
      </c>
      <c r="U59" s="6" t="s">
        <v>176</v>
      </c>
      <c r="V59" t="str">
        <f t="shared" si="7"/>
        <v>711</v>
      </c>
    </row>
    <row r="60" spans="1:22">
      <c r="A60" s="142" t="str">
        <f>IF(E60="","",VLOOKUP('Opći dio'!#REF!,'Opći dio'!#REF!,10,FALSE))</f>
        <v/>
      </c>
      <c r="B60" s="142" t="str">
        <f>IF(E60="","",VLOOKUP('Opći dio'!#REF!,'Opći dio'!#REF!,9,FALSE))</f>
        <v/>
      </c>
      <c r="C60" s="160" t="str">
        <f t="shared" si="0"/>
        <v/>
      </c>
      <c r="D60" s="140" t="str">
        <f t="shared" si="1"/>
        <v/>
      </c>
      <c r="E60" s="152"/>
      <c r="F60" s="141" t="str">
        <f t="shared" si="2"/>
        <v/>
      </c>
      <c r="G60" s="156"/>
      <c r="H60" s="156"/>
      <c r="I60" s="156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253</v>
      </c>
      <c r="T60" s="6">
        <v>71</v>
      </c>
      <c r="U60" s="6" t="s">
        <v>176</v>
      </c>
      <c r="V60" t="str">
        <f t="shared" si="7"/>
        <v>712</v>
      </c>
    </row>
    <row r="61" spans="1:22">
      <c r="A61" s="142" t="str">
        <f>IF(E61="","",VLOOKUP('Opći dio'!#REF!,'Opći dio'!#REF!,10,FALSE))</f>
        <v/>
      </c>
      <c r="B61" s="142" t="str">
        <f>IF(E61="","",VLOOKUP('Opći dio'!#REF!,'Opći dio'!#REF!,9,FALSE))</f>
        <v/>
      </c>
      <c r="C61" s="160" t="str">
        <f t="shared" si="0"/>
        <v/>
      </c>
      <c r="D61" s="140" t="str">
        <f t="shared" si="1"/>
        <v/>
      </c>
      <c r="E61" s="152"/>
      <c r="F61" s="141" t="str">
        <f t="shared" si="2"/>
        <v/>
      </c>
      <c r="G61" s="156"/>
      <c r="H61" s="156"/>
      <c r="I61" s="156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254</v>
      </c>
      <c r="T61" s="6">
        <v>71</v>
      </c>
      <c r="U61" s="6" t="s">
        <v>176</v>
      </c>
      <c r="V61" t="str">
        <f t="shared" si="7"/>
        <v>712</v>
      </c>
    </row>
    <row r="62" spans="1:22">
      <c r="A62" s="142" t="str">
        <f>IF(E62="","",VLOOKUP('Opći dio'!#REF!,'Opći dio'!#REF!,10,FALSE))</f>
        <v/>
      </c>
      <c r="B62" s="142" t="str">
        <f>IF(E62="","",VLOOKUP('Opći dio'!#REF!,'Opći dio'!#REF!,9,FALSE))</f>
        <v/>
      </c>
      <c r="C62" s="160" t="str">
        <f t="shared" si="0"/>
        <v/>
      </c>
      <c r="D62" s="140" t="str">
        <f t="shared" si="1"/>
        <v/>
      </c>
      <c r="E62" s="152"/>
      <c r="F62" s="141" t="str">
        <f t="shared" si="2"/>
        <v/>
      </c>
      <c r="G62" s="156"/>
      <c r="H62" s="156"/>
      <c r="I62" s="156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255</v>
      </c>
      <c r="T62" s="6">
        <v>71</v>
      </c>
      <c r="U62" s="6" t="s">
        <v>176</v>
      </c>
      <c r="V62" t="str">
        <f t="shared" si="7"/>
        <v>721</v>
      </c>
    </row>
    <row r="63" spans="1:22">
      <c r="A63" s="142" t="str">
        <f>IF(E63="","",VLOOKUP('Opći dio'!#REF!,'Opći dio'!#REF!,10,FALSE))</f>
        <v/>
      </c>
      <c r="B63" s="142" t="str">
        <f>IF(E63="","",VLOOKUP('Opći dio'!#REF!,'Opći dio'!#REF!,9,FALSE))</f>
        <v/>
      </c>
      <c r="C63" s="160" t="str">
        <f t="shared" si="0"/>
        <v/>
      </c>
      <c r="D63" s="140" t="str">
        <f t="shared" si="1"/>
        <v/>
      </c>
      <c r="E63" s="152"/>
      <c r="F63" s="141" t="str">
        <f t="shared" si="2"/>
        <v/>
      </c>
      <c r="G63" s="156"/>
      <c r="H63" s="156"/>
      <c r="I63" s="156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256</v>
      </c>
      <c r="T63" s="6">
        <v>71</v>
      </c>
      <c r="U63" s="6" t="s">
        <v>176</v>
      </c>
      <c r="V63" t="str">
        <f t="shared" si="7"/>
        <v>721</v>
      </c>
    </row>
    <row r="64" spans="1:22">
      <c r="A64" s="142" t="str">
        <f>IF(E64="","",VLOOKUP('Opći dio'!#REF!,'Opći dio'!#REF!,10,FALSE))</f>
        <v/>
      </c>
      <c r="B64" s="142" t="str">
        <f>IF(E64="","",VLOOKUP('Opći dio'!#REF!,'Opći dio'!#REF!,9,FALSE))</f>
        <v/>
      </c>
      <c r="C64" s="160" t="str">
        <f t="shared" si="0"/>
        <v/>
      </c>
      <c r="D64" s="140" t="str">
        <f t="shared" si="1"/>
        <v/>
      </c>
      <c r="E64" s="152"/>
      <c r="F64" s="141" t="str">
        <f t="shared" si="2"/>
        <v/>
      </c>
      <c r="G64" s="156"/>
      <c r="H64" s="156"/>
      <c r="I64" s="156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257</v>
      </c>
      <c r="T64" s="6">
        <v>71</v>
      </c>
      <c r="U64" s="6" t="s">
        <v>176</v>
      </c>
      <c r="V64" t="str">
        <f t="shared" si="7"/>
        <v>721</v>
      </c>
    </row>
    <row r="65" spans="1:22">
      <c r="A65" s="142" t="str">
        <f>IF(E65="","",VLOOKUP('Opći dio'!#REF!,'Opći dio'!#REF!,10,FALSE))</f>
        <v/>
      </c>
      <c r="B65" s="142" t="str">
        <f>IF(E65="","",VLOOKUP('Opći dio'!#REF!,'Opći dio'!#REF!,9,FALSE))</f>
        <v/>
      </c>
      <c r="C65" s="160" t="str">
        <f t="shared" si="0"/>
        <v/>
      </c>
      <c r="D65" s="140" t="str">
        <f t="shared" si="1"/>
        <v/>
      </c>
      <c r="E65" s="152"/>
      <c r="F65" s="141" t="str">
        <f t="shared" si="2"/>
        <v/>
      </c>
      <c r="G65" s="156"/>
      <c r="H65" s="156"/>
      <c r="I65" s="156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258</v>
      </c>
      <c r="T65" s="6">
        <v>71</v>
      </c>
      <c r="U65" s="6" t="s">
        <v>176</v>
      </c>
      <c r="V65" t="str">
        <f t="shared" si="7"/>
        <v>721</v>
      </c>
    </row>
    <row r="66" spans="1:22">
      <c r="A66" s="142" t="str">
        <f>IF(E66="","",VLOOKUP('Opći dio'!#REF!,'Opći dio'!#REF!,10,FALSE))</f>
        <v/>
      </c>
      <c r="B66" s="142" t="str">
        <f>IF(E66="","",VLOOKUP('Opći dio'!#REF!,'Opći dio'!#REF!,9,FALSE))</f>
        <v/>
      </c>
      <c r="C66" s="160" t="str">
        <f t="shared" si="0"/>
        <v/>
      </c>
      <c r="D66" s="140" t="str">
        <f t="shared" si="1"/>
        <v/>
      </c>
      <c r="E66" s="152"/>
      <c r="F66" s="141" t="str">
        <f t="shared" si="2"/>
        <v/>
      </c>
      <c r="G66" s="156"/>
      <c r="H66" s="156"/>
      <c r="I66" s="156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259</v>
      </c>
      <c r="T66" s="6">
        <v>71</v>
      </c>
      <c r="U66" s="6" t="s">
        <v>176</v>
      </c>
      <c r="V66" t="str">
        <f t="shared" si="7"/>
        <v>722</v>
      </c>
    </row>
    <row r="67" spans="1:22">
      <c r="A67" s="142" t="str">
        <f>IF(E67="","",VLOOKUP('Opći dio'!#REF!,'Opći dio'!#REF!,10,FALSE))</f>
        <v/>
      </c>
      <c r="B67" s="142" t="str">
        <f>IF(E67="","",VLOOKUP('Opći dio'!#REF!,'Opći dio'!#REF!,9,FALSE))</f>
        <v/>
      </c>
      <c r="C67" s="160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2"/>
      <c r="F67" s="141" t="str">
        <f t="shared" ref="F67:F130" si="10">IFERROR(VLOOKUP(E67,$R$6:$U$73,2,FALSE),"")</f>
        <v/>
      </c>
      <c r="G67" s="156"/>
      <c r="H67" s="156"/>
      <c r="I67" s="156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260</v>
      </c>
      <c r="T67" s="6">
        <v>71</v>
      </c>
      <c r="U67" s="6" t="s">
        <v>176</v>
      </c>
      <c r="V67" t="str">
        <f t="shared" si="7"/>
        <v>722</v>
      </c>
    </row>
    <row r="68" spans="1:22">
      <c r="A68" s="142" t="str">
        <f>IF(E68="","",VLOOKUP('Opći dio'!#REF!,'Opći dio'!#REF!,10,FALSE))</f>
        <v/>
      </c>
      <c r="B68" s="142" t="str">
        <f>IF(E68="","",VLOOKUP('Opći dio'!#REF!,'Opći dio'!#REF!,9,FALSE))</f>
        <v/>
      </c>
      <c r="C68" s="160" t="str">
        <f t="shared" si="8"/>
        <v/>
      </c>
      <c r="D68" s="140" t="str">
        <f t="shared" si="9"/>
        <v/>
      </c>
      <c r="E68" s="152"/>
      <c r="F68" s="141" t="str">
        <f t="shared" si="10"/>
        <v/>
      </c>
      <c r="G68" s="156"/>
      <c r="H68" s="156"/>
      <c r="I68" s="156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261</v>
      </c>
      <c r="T68" s="6">
        <v>71</v>
      </c>
      <c r="U68" s="6" t="s">
        <v>176</v>
      </c>
      <c r="V68" t="str">
        <f t="shared" si="7"/>
        <v>722</v>
      </c>
    </row>
    <row r="69" spans="1:22">
      <c r="A69" s="142" t="str">
        <f>IF(E69="","",VLOOKUP('Opći dio'!#REF!,'Opći dio'!#REF!,10,FALSE))</f>
        <v/>
      </c>
      <c r="B69" s="142" t="str">
        <f>IF(E69="","",VLOOKUP('Opći dio'!#REF!,'Opći dio'!#REF!,9,FALSE))</f>
        <v/>
      </c>
      <c r="C69" s="160" t="str">
        <f t="shared" si="8"/>
        <v/>
      </c>
      <c r="D69" s="140" t="str">
        <f t="shared" si="9"/>
        <v/>
      </c>
      <c r="E69" s="152"/>
      <c r="F69" s="141" t="str">
        <f t="shared" si="10"/>
        <v/>
      </c>
      <c r="G69" s="156"/>
      <c r="H69" s="156"/>
      <c r="I69" s="156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262</v>
      </c>
      <c r="T69" s="6">
        <v>71</v>
      </c>
      <c r="U69" s="6" t="s">
        <v>176</v>
      </c>
      <c r="V69" t="str">
        <f t="shared" si="7"/>
        <v>722</v>
      </c>
    </row>
    <row r="70" spans="1:22">
      <c r="A70" s="142" t="str">
        <f>IF(E70="","",VLOOKUP('Opći dio'!#REF!,'Opći dio'!#REF!,10,FALSE))</f>
        <v/>
      </c>
      <c r="B70" s="142" t="str">
        <f>IF(E70="","",VLOOKUP('Opći dio'!#REF!,'Opći dio'!#REF!,9,FALSE))</f>
        <v/>
      </c>
      <c r="C70" s="160" t="str">
        <f t="shared" si="8"/>
        <v/>
      </c>
      <c r="D70" s="140" t="str">
        <f t="shared" si="9"/>
        <v/>
      </c>
      <c r="E70" s="152"/>
      <c r="F70" s="141" t="str">
        <f t="shared" si="10"/>
        <v/>
      </c>
      <c r="G70" s="156"/>
      <c r="H70" s="156"/>
      <c r="I70" s="156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263</v>
      </c>
      <c r="T70" s="6">
        <v>71</v>
      </c>
      <c r="U70" s="6" t="s">
        <v>176</v>
      </c>
      <c r="V70" t="str">
        <f t="shared" si="7"/>
        <v>723</v>
      </c>
    </row>
    <row r="71" spans="1:22">
      <c r="A71" s="142" t="str">
        <f>IF(E71="","",VLOOKUP('Opći dio'!#REF!,'Opći dio'!#REF!,10,FALSE))</f>
        <v/>
      </c>
      <c r="B71" s="142" t="str">
        <f>IF(E71="","",VLOOKUP('Opći dio'!#REF!,'Opći dio'!#REF!,9,FALSE))</f>
        <v/>
      </c>
      <c r="C71" s="160" t="str">
        <f t="shared" si="8"/>
        <v/>
      </c>
      <c r="D71" s="140" t="str">
        <f t="shared" si="9"/>
        <v/>
      </c>
      <c r="E71" s="152"/>
      <c r="F71" s="141" t="str">
        <f t="shared" si="10"/>
        <v/>
      </c>
      <c r="G71" s="156"/>
      <c r="H71" s="156"/>
      <c r="I71" s="156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264</v>
      </c>
      <c r="T71" s="6">
        <v>71</v>
      </c>
      <c r="U71" s="6" t="s">
        <v>176</v>
      </c>
      <c r="V71" t="str">
        <f t="shared" si="7"/>
        <v>725</v>
      </c>
    </row>
    <row r="72" spans="1:22">
      <c r="A72" s="142" t="str">
        <f>IF(E72="","",VLOOKUP('Opći dio'!#REF!,'Opći dio'!#REF!,10,FALSE))</f>
        <v/>
      </c>
      <c r="B72" s="142" t="str">
        <f>IF(E72="","",VLOOKUP('Opći dio'!#REF!,'Opći dio'!#REF!,9,FALSE))</f>
        <v/>
      </c>
      <c r="C72" s="160" t="str">
        <f t="shared" si="8"/>
        <v/>
      </c>
      <c r="D72" s="140" t="str">
        <f t="shared" si="9"/>
        <v/>
      </c>
      <c r="E72" s="152"/>
      <c r="F72" s="141" t="str">
        <f t="shared" si="10"/>
        <v/>
      </c>
      <c r="G72" s="156"/>
      <c r="H72" s="156"/>
      <c r="I72" s="156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265</v>
      </c>
      <c r="T72" s="6">
        <v>81</v>
      </c>
      <c r="U72" s="6" t="s">
        <v>58</v>
      </c>
      <c r="V72" t="str">
        <f t="shared" si="7"/>
        <v>812</v>
      </c>
    </row>
    <row r="73" spans="1:22">
      <c r="A73" s="142" t="str">
        <f>IF(E73="","",VLOOKUP('Opći dio'!#REF!,'Opći dio'!#REF!,10,FALSE))</f>
        <v/>
      </c>
      <c r="B73" s="142" t="str">
        <f>IF(E73="","",VLOOKUP('Opći dio'!#REF!,'Opći dio'!#REF!,9,FALSE))</f>
        <v/>
      </c>
      <c r="C73" s="160" t="str">
        <f t="shared" si="8"/>
        <v/>
      </c>
      <c r="D73" s="140" t="str">
        <f t="shared" si="9"/>
        <v/>
      </c>
      <c r="E73" s="152"/>
      <c r="F73" s="141" t="str">
        <f t="shared" si="10"/>
        <v/>
      </c>
      <c r="G73" s="156"/>
      <c r="H73" s="156"/>
      <c r="I73" s="156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364</v>
      </c>
      <c r="T73" s="6">
        <v>81</v>
      </c>
      <c r="U73" s="6" t="s">
        <v>58</v>
      </c>
      <c r="V73" t="str">
        <f t="shared" si="7"/>
        <v>842</v>
      </c>
    </row>
    <row r="74" spans="1:22">
      <c r="A74" s="142" t="str">
        <f>IF(E74="","",VLOOKUP('Opći dio'!#REF!,'Opći dio'!#REF!,10,FALSE))</f>
        <v/>
      </c>
      <c r="B74" s="142" t="str">
        <f>IF(E74="","",VLOOKUP('Opći dio'!#REF!,'Opći dio'!#REF!,9,FALSE))</f>
        <v/>
      </c>
      <c r="C74" s="160" t="str">
        <f t="shared" si="8"/>
        <v/>
      </c>
      <c r="D74" s="140" t="str">
        <f t="shared" si="9"/>
        <v/>
      </c>
      <c r="E74" s="152"/>
      <c r="F74" s="141" t="str">
        <f t="shared" si="10"/>
        <v/>
      </c>
      <c r="G74" s="156"/>
      <c r="H74" s="156"/>
      <c r="I74" s="156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dio'!#REF!,'Opći dio'!#REF!,10,FALSE))</f>
        <v/>
      </c>
      <c r="B75" s="142" t="str">
        <f>IF(E75="","",VLOOKUP('Opći dio'!#REF!,'Opći dio'!#REF!,9,FALSE))</f>
        <v/>
      </c>
      <c r="C75" s="160" t="str">
        <f t="shared" si="8"/>
        <v/>
      </c>
      <c r="D75" s="140" t="str">
        <f t="shared" si="9"/>
        <v/>
      </c>
      <c r="E75" s="152"/>
      <c r="F75" s="141" t="str">
        <f t="shared" si="10"/>
        <v/>
      </c>
      <c r="G75" s="156"/>
      <c r="H75" s="156"/>
      <c r="I75" s="156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dio'!#REF!,'Opći dio'!#REF!,10,FALSE))</f>
        <v/>
      </c>
      <c r="B76" s="142" t="str">
        <f>IF(E76="","",VLOOKUP('Opći dio'!#REF!,'Opći dio'!#REF!,9,FALSE))</f>
        <v/>
      </c>
      <c r="C76" s="160" t="str">
        <f t="shared" si="8"/>
        <v/>
      </c>
      <c r="D76" s="140" t="str">
        <f t="shared" si="9"/>
        <v/>
      </c>
      <c r="E76" s="152"/>
      <c r="F76" s="141" t="str">
        <f t="shared" si="10"/>
        <v/>
      </c>
      <c r="G76" s="156"/>
      <c r="H76" s="156"/>
      <c r="I76" s="156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dio'!#REF!,'Opći dio'!#REF!,10,FALSE))</f>
        <v/>
      </c>
      <c r="B77" s="142" t="str">
        <f>IF(E77="","",VLOOKUP('Opći dio'!#REF!,'Opći dio'!#REF!,9,FALSE))</f>
        <v/>
      </c>
      <c r="C77" s="160" t="str">
        <f t="shared" si="8"/>
        <v/>
      </c>
      <c r="D77" s="140" t="str">
        <f t="shared" si="9"/>
        <v/>
      </c>
      <c r="E77" s="152"/>
      <c r="F77" s="141" t="str">
        <f t="shared" si="10"/>
        <v/>
      </c>
      <c r="G77" s="156"/>
      <c r="H77" s="156"/>
      <c r="I77" s="156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dio'!#REF!,'Opći dio'!#REF!,10,FALSE))</f>
        <v/>
      </c>
      <c r="B78" s="142" t="str">
        <f>IF(E78="","",VLOOKUP('Opći dio'!#REF!,'Opći dio'!#REF!,9,FALSE))</f>
        <v/>
      </c>
      <c r="C78" s="160" t="str">
        <f t="shared" si="8"/>
        <v/>
      </c>
      <c r="D78" s="140" t="str">
        <f t="shared" si="9"/>
        <v/>
      </c>
      <c r="E78" s="152"/>
      <c r="F78" s="141" t="str">
        <f t="shared" si="10"/>
        <v/>
      </c>
      <c r="G78" s="156"/>
      <c r="H78" s="156"/>
      <c r="I78" s="156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dio'!#REF!,'Opći dio'!#REF!,10,FALSE))</f>
        <v/>
      </c>
      <c r="B79" s="142" t="str">
        <f>IF(E79="","",VLOOKUP('Opći dio'!#REF!,'Opći dio'!#REF!,9,FALSE))</f>
        <v/>
      </c>
      <c r="C79" s="160" t="str">
        <f t="shared" si="8"/>
        <v/>
      </c>
      <c r="D79" s="140" t="str">
        <f t="shared" si="9"/>
        <v/>
      </c>
      <c r="E79" s="152"/>
      <c r="F79" s="141" t="str">
        <f t="shared" si="10"/>
        <v/>
      </c>
      <c r="G79" s="156"/>
      <c r="H79" s="156"/>
      <c r="I79" s="156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dio'!#REF!,'Opći dio'!#REF!,10,FALSE))</f>
        <v/>
      </c>
      <c r="B80" s="142" t="str">
        <f>IF(E80="","",VLOOKUP('Opći dio'!#REF!,'Opći dio'!#REF!,9,FALSE))</f>
        <v/>
      </c>
      <c r="C80" s="160" t="str">
        <f t="shared" si="8"/>
        <v/>
      </c>
      <c r="D80" s="140" t="str">
        <f t="shared" si="9"/>
        <v/>
      </c>
      <c r="E80" s="152"/>
      <c r="F80" s="141" t="str">
        <f t="shared" si="10"/>
        <v/>
      </c>
      <c r="G80" s="156"/>
      <c r="H80" s="156"/>
      <c r="I80" s="156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dio'!#REF!,'Opći dio'!#REF!,10,FALSE))</f>
        <v/>
      </c>
      <c r="B81" s="142" t="str">
        <f>IF(E81="","",VLOOKUP('Opći dio'!#REF!,'Opći dio'!#REF!,9,FALSE))</f>
        <v/>
      </c>
      <c r="C81" s="160" t="str">
        <f t="shared" si="8"/>
        <v/>
      </c>
      <c r="D81" s="140" t="str">
        <f t="shared" si="9"/>
        <v/>
      </c>
      <c r="E81" s="152"/>
      <c r="F81" s="141" t="str">
        <f t="shared" si="10"/>
        <v/>
      </c>
      <c r="G81" s="156"/>
      <c r="H81" s="156"/>
      <c r="I81" s="156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dio'!#REF!,'Opći dio'!#REF!,10,FALSE))</f>
        <v/>
      </c>
      <c r="B82" s="142" t="str">
        <f>IF(E82="","",VLOOKUP('Opći dio'!#REF!,'Opći dio'!#REF!,9,FALSE))</f>
        <v/>
      </c>
      <c r="C82" s="160" t="str">
        <f t="shared" si="8"/>
        <v/>
      </c>
      <c r="D82" s="140" t="str">
        <f t="shared" si="9"/>
        <v/>
      </c>
      <c r="E82" s="152"/>
      <c r="F82" s="141" t="str">
        <f t="shared" si="10"/>
        <v/>
      </c>
      <c r="G82" s="156"/>
      <c r="H82" s="156"/>
      <c r="I82" s="156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dio'!#REF!,'Opći dio'!#REF!,10,FALSE))</f>
        <v/>
      </c>
      <c r="B83" s="142" t="str">
        <f>IF(E83="","",VLOOKUP('Opći dio'!#REF!,'Opći dio'!#REF!,9,FALSE))</f>
        <v/>
      </c>
      <c r="C83" s="160" t="str">
        <f t="shared" si="8"/>
        <v/>
      </c>
      <c r="D83" s="140" t="str">
        <f t="shared" si="9"/>
        <v/>
      </c>
      <c r="E83" s="152"/>
      <c r="F83" s="141" t="str">
        <f t="shared" si="10"/>
        <v/>
      </c>
      <c r="G83" s="156"/>
      <c r="H83" s="156"/>
      <c r="I83" s="156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dio'!#REF!,'Opći dio'!#REF!,10,FALSE))</f>
        <v/>
      </c>
      <c r="B84" s="142" t="str">
        <f>IF(E84="","",VLOOKUP('Opći dio'!#REF!,'Opći dio'!#REF!,9,FALSE))</f>
        <v/>
      </c>
      <c r="C84" s="160" t="str">
        <f t="shared" si="8"/>
        <v/>
      </c>
      <c r="D84" s="140" t="str">
        <f t="shared" si="9"/>
        <v/>
      </c>
      <c r="E84" s="152"/>
      <c r="F84" s="141" t="str">
        <f t="shared" si="10"/>
        <v/>
      </c>
      <c r="G84" s="156"/>
      <c r="H84" s="156"/>
      <c r="I84" s="156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dio'!#REF!,'Opći dio'!#REF!,10,FALSE))</f>
        <v/>
      </c>
      <c r="B85" s="142" t="str">
        <f>IF(E85="","",VLOOKUP('Opći dio'!#REF!,'Opći dio'!#REF!,9,FALSE))</f>
        <v/>
      </c>
      <c r="C85" s="160" t="str">
        <f t="shared" si="8"/>
        <v/>
      </c>
      <c r="D85" s="140" t="str">
        <f t="shared" si="9"/>
        <v/>
      </c>
      <c r="E85" s="152"/>
      <c r="F85" s="141" t="str">
        <f t="shared" si="10"/>
        <v/>
      </c>
      <c r="G85" s="156"/>
      <c r="H85" s="156"/>
      <c r="I85" s="156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dio'!#REF!,'Opći dio'!#REF!,10,FALSE))</f>
        <v/>
      </c>
      <c r="B86" s="142" t="str">
        <f>IF(E86="","",VLOOKUP('Opći dio'!#REF!,'Opći dio'!#REF!,9,FALSE))</f>
        <v/>
      </c>
      <c r="C86" s="160" t="str">
        <f t="shared" si="8"/>
        <v/>
      </c>
      <c r="D86" s="140" t="str">
        <f t="shared" si="9"/>
        <v/>
      </c>
      <c r="E86" s="152"/>
      <c r="F86" s="141" t="str">
        <f t="shared" si="10"/>
        <v/>
      </c>
      <c r="G86" s="156"/>
      <c r="H86" s="156"/>
      <c r="I86" s="156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dio'!#REF!,'Opći dio'!#REF!,10,FALSE))</f>
        <v/>
      </c>
      <c r="B87" s="142" t="str">
        <f>IF(E87="","",VLOOKUP('Opći dio'!#REF!,'Opći dio'!#REF!,9,FALSE))</f>
        <v/>
      </c>
      <c r="C87" s="160" t="str">
        <f t="shared" si="8"/>
        <v/>
      </c>
      <c r="D87" s="140" t="str">
        <f t="shared" si="9"/>
        <v/>
      </c>
      <c r="E87" s="152"/>
      <c r="F87" s="141" t="str">
        <f t="shared" si="10"/>
        <v/>
      </c>
      <c r="G87" s="156"/>
      <c r="H87" s="156"/>
      <c r="I87" s="156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dio'!#REF!,'Opći dio'!#REF!,10,FALSE))</f>
        <v/>
      </c>
      <c r="B88" s="142" t="str">
        <f>IF(E88="","",VLOOKUP('Opći dio'!#REF!,'Opći dio'!#REF!,9,FALSE))</f>
        <v/>
      </c>
      <c r="C88" s="160" t="str">
        <f t="shared" si="8"/>
        <v/>
      </c>
      <c r="D88" s="140" t="str">
        <f t="shared" si="9"/>
        <v/>
      </c>
      <c r="E88" s="152"/>
      <c r="F88" s="141" t="str">
        <f t="shared" si="10"/>
        <v/>
      </c>
      <c r="G88" s="156"/>
      <c r="H88" s="156"/>
      <c r="I88" s="156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dio'!#REF!,'Opći dio'!#REF!,10,FALSE))</f>
        <v/>
      </c>
      <c r="B89" s="142" t="str">
        <f>IF(E89="","",VLOOKUP('Opći dio'!#REF!,'Opći dio'!#REF!,9,FALSE))</f>
        <v/>
      </c>
      <c r="C89" s="160" t="str">
        <f t="shared" si="8"/>
        <v/>
      </c>
      <c r="D89" s="140" t="str">
        <f t="shared" si="9"/>
        <v/>
      </c>
      <c r="E89" s="152"/>
      <c r="F89" s="141" t="str">
        <f t="shared" si="10"/>
        <v/>
      </c>
      <c r="G89" s="156"/>
      <c r="H89" s="156"/>
      <c r="I89" s="156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dio'!#REF!,'Opći dio'!#REF!,10,FALSE))</f>
        <v/>
      </c>
      <c r="B90" s="142" t="str">
        <f>IF(E90="","",VLOOKUP('Opći dio'!#REF!,'Opći dio'!#REF!,9,FALSE))</f>
        <v/>
      </c>
      <c r="C90" s="160" t="str">
        <f t="shared" si="8"/>
        <v/>
      </c>
      <c r="D90" s="140" t="str">
        <f t="shared" si="9"/>
        <v/>
      </c>
      <c r="E90" s="152"/>
      <c r="F90" s="141" t="str">
        <f t="shared" si="10"/>
        <v/>
      </c>
      <c r="G90" s="156"/>
      <c r="H90" s="156"/>
      <c r="I90" s="156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dio'!#REF!,'Opći dio'!#REF!,10,FALSE))</f>
        <v/>
      </c>
      <c r="B91" s="142" t="str">
        <f>IF(E91="","",VLOOKUP('Opći dio'!#REF!,'Opći dio'!#REF!,9,FALSE))</f>
        <v/>
      </c>
      <c r="C91" s="160" t="str">
        <f t="shared" si="8"/>
        <v/>
      </c>
      <c r="D91" s="140" t="str">
        <f t="shared" si="9"/>
        <v/>
      </c>
      <c r="E91" s="152"/>
      <c r="F91" s="141" t="str">
        <f t="shared" si="10"/>
        <v/>
      </c>
      <c r="G91" s="156"/>
      <c r="H91" s="156"/>
      <c r="I91" s="156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dio'!#REF!,'Opći dio'!#REF!,10,FALSE))</f>
        <v/>
      </c>
      <c r="B92" s="142" t="str">
        <f>IF(E92="","",VLOOKUP('Opći dio'!#REF!,'Opći dio'!#REF!,9,FALSE))</f>
        <v/>
      </c>
      <c r="C92" s="160" t="str">
        <f t="shared" si="8"/>
        <v/>
      </c>
      <c r="D92" s="140" t="str">
        <f t="shared" si="9"/>
        <v/>
      </c>
      <c r="E92" s="152"/>
      <c r="F92" s="141" t="str">
        <f t="shared" si="10"/>
        <v/>
      </c>
      <c r="G92" s="156"/>
      <c r="H92" s="156"/>
      <c r="I92" s="156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dio'!#REF!,'Opći dio'!#REF!,10,FALSE))</f>
        <v/>
      </c>
      <c r="B93" s="142" t="str">
        <f>IF(E93="","",VLOOKUP('Opći dio'!#REF!,'Opći dio'!#REF!,9,FALSE))</f>
        <v/>
      </c>
      <c r="C93" s="160" t="str">
        <f t="shared" si="8"/>
        <v/>
      </c>
      <c r="D93" s="140" t="str">
        <f t="shared" si="9"/>
        <v/>
      </c>
      <c r="E93" s="152"/>
      <c r="F93" s="141" t="str">
        <f t="shared" si="10"/>
        <v/>
      </c>
      <c r="G93" s="156"/>
      <c r="H93" s="156"/>
      <c r="I93" s="156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dio'!#REF!,'Opći dio'!#REF!,10,FALSE))</f>
        <v/>
      </c>
      <c r="B94" s="142" t="str">
        <f>IF(E94="","",VLOOKUP('Opći dio'!#REF!,'Opći dio'!#REF!,9,FALSE))</f>
        <v/>
      </c>
      <c r="C94" s="160" t="str">
        <f t="shared" si="8"/>
        <v/>
      </c>
      <c r="D94" s="140" t="str">
        <f t="shared" si="9"/>
        <v/>
      </c>
      <c r="E94" s="152"/>
      <c r="F94" s="141" t="str">
        <f t="shared" si="10"/>
        <v/>
      </c>
      <c r="G94" s="156"/>
      <c r="H94" s="156"/>
      <c r="I94" s="156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dio'!#REF!,'Opći dio'!#REF!,10,FALSE))</f>
        <v/>
      </c>
      <c r="B95" s="142" t="str">
        <f>IF(E95="","",VLOOKUP('Opći dio'!#REF!,'Opći dio'!#REF!,9,FALSE))</f>
        <v/>
      </c>
      <c r="C95" s="160" t="str">
        <f t="shared" si="8"/>
        <v/>
      </c>
      <c r="D95" s="140" t="str">
        <f t="shared" si="9"/>
        <v/>
      </c>
      <c r="E95" s="152"/>
      <c r="F95" s="141" t="str">
        <f t="shared" si="10"/>
        <v/>
      </c>
      <c r="G95" s="156"/>
      <c r="H95" s="156"/>
      <c r="I95" s="156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dio'!#REF!,'Opći dio'!#REF!,10,FALSE))</f>
        <v/>
      </c>
      <c r="B96" s="142" t="str">
        <f>IF(E96="","",VLOOKUP('Opći dio'!#REF!,'Opći dio'!#REF!,9,FALSE))</f>
        <v/>
      </c>
      <c r="C96" s="160" t="str">
        <f t="shared" si="8"/>
        <v/>
      </c>
      <c r="D96" s="140" t="str">
        <f t="shared" si="9"/>
        <v/>
      </c>
      <c r="E96" s="152"/>
      <c r="F96" s="141" t="str">
        <f t="shared" si="10"/>
        <v/>
      </c>
      <c r="G96" s="156"/>
      <c r="H96" s="156"/>
      <c r="I96" s="156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dio'!#REF!,'Opći dio'!#REF!,10,FALSE))</f>
        <v/>
      </c>
      <c r="B97" s="142" t="str">
        <f>IF(E97="","",VLOOKUP('Opći dio'!#REF!,'Opći dio'!#REF!,9,FALSE))</f>
        <v/>
      </c>
      <c r="C97" s="160" t="str">
        <f t="shared" si="8"/>
        <v/>
      </c>
      <c r="D97" s="140" t="str">
        <f t="shared" si="9"/>
        <v/>
      </c>
      <c r="E97" s="152"/>
      <c r="F97" s="141" t="str">
        <f t="shared" si="10"/>
        <v/>
      </c>
      <c r="G97" s="156"/>
      <c r="H97" s="156"/>
      <c r="I97" s="156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dio'!#REF!,'Opći dio'!#REF!,10,FALSE))</f>
        <v/>
      </c>
      <c r="B98" s="142" t="str">
        <f>IF(E98="","",VLOOKUP('Opći dio'!#REF!,'Opći dio'!#REF!,9,FALSE))</f>
        <v/>
      </c>
      <c r="C98" s="160" t="str">
        <f t="shared" si="8"/>
        <v/>
      </c>
      <c r="D98" s="140" t="str">
        <f t="shared" si="9"/>
        <v/>
      </c>
      <c r="E98" s="152"/>
      <c r="F98" s="141" t="str">
        <f t="shared" si="10"/>
        <v/>
      </c>
      <c r="G98" s="156"/>
      <c r="H98" s="156"/>
      <c r="I98" s="156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dio'!#REF!,'Opći dio'!#REF!,10,FALSE))</f>
        <v/>
      </c>
      <c r="B99" s="142" t="str">
        <f>IF(E99="","",VLOOKUP('Opći dio'!#REF!,'Opći dio'!#REF!,9,FALSE))</f>
        <v/>
      </c>
      <c r="C99" s="160" t="str">
        <f t="shared" si="8"/>
        <v/>
      </c>
      <c r="D99" s="140" t="str">
        <f t="shared" si="9"/>
        <v/>
      </c>
      <c r="E99" s="152"/>
      <c r="F99" s="141" t="str">
        <f t="shared" si="10"/>
        <v/>
      </c>
      <c r="G99" s="156"/>
      <c r="H99" s="156"/>
      <c r="I99" s="156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dio'!#REF!,'Opći dio'!#REF!,10,FALSE))</f>
        <v/>
      </c>
      <c r="B100" s="142" t="str">
        <f>IF(E100="","",VLOOKUP('Opći dio'!#REF!,'Opći dio'!#REF!,9,FALSE))</f>
        <v/>
      </c>
      <c r="C100" s="160" t="str">
        <f t="shared" si="8"/>
        <v/>
      </c>
      <c r="D100" s="140" t="str">
        <f t="shared" si="9"/>
        <v/>
      </c>
      <c r="E100" s="152"/>
      <c r="F100" s="141" t="str">
        <f t="shared" si="10"/>
        <v/>
      </c>
      <c r="G100" s="156"/>
      <c r="H100" s="156"/>
      <c r="I100" s="156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dio'!#REF!,'Opći dio'!#REF!,10,FALSE))</f>
        <v/>
      </c>
      <c r="B101" s="142" t="str">
        <f>IF(E101="","",VLOOKUP('Opći dio'!#REF!,'Opći dio'!#REF!,9,FALSE))</f>
        <v/>
      </c>
      <c r="C101" s="160" t="str">
        <f t="shared" si="8"/>
        <v/>
      </c>
      <c r="D101" s="140" t="str">
        <f t="shared" si="9"/>
        <v/>
      </c>
      <c r="E101" s="152"/>
      <c r="F101" s="141" t="str">
        <f t="shared" si="10"/>
        <v/>
      </c>
      <c r="G101" s="156"/>
      <c r="H101" s="156"/>
      <c r="I101" s="156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dio'!#REF!,'Opći dio'!#REF!,10,FALSE))</f>
        <v/>
      </c>
      <c r="B102" s="142" t="str">
        <f>IF(E102="","",VLOOKUP('Opći dio'!#REF!,'Opći dio'!#REF!,9,FALSE))</f>
        <v/>
      </c>
      <c r="C102" s="160" t="str">
        <f t="shared" si="8"/>
        <v/>
      </c>
      <c r="D102" s="140" t="str">
        <f t="shared" si="9"/>
        <v/>
      </c>
      <c r="E102" s="152"/>
      <c r="F102" s="141" t="str">
        <f t="shared" si="10"/>
        <v/>
      </c>
      <c r="G102" s="156"/>
      <c r="H102" s="156"/>
      <c r="I102" s="156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dio'!#REF!,'Opći dio'!#REF!,10,FALSE))</f>
        <v/>
      </c>
      <c r="B103" s="142" t="str">
        <f>IF(E103="","",VLOOKUP('Opći dio'!#REF!,'Opći dio'!#REF!,9,FALSE))</f>
        <v/>
      </c>
      <c r="C103" s="160" t="str">
        <f t="shared" si="8"/>
        <v/>
      </c>
      <c r="D103" s="140" t="str">
        <f t="shared" si="9"/>
        <v/>
      </c>
      <c r="E103" s="152"/>
      <c r="F103" s="141" t="str">
        <f t="shared" si="10"/>
        <v/>
      </c>
      <c r="G103" s="156"/>
      <c r="H103" s="156"/>
      <c r="I103" s="156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dio'!#REF!,'Opći dio'!#REF!,10,FALSE))</f>
        <v/>
      </c>
      <c r="B104" s="142" t="str">
        <f>IF(E104="","",VLOOKUP('Opći dio'!#REF!,'Opći dio'!#REF!,9,FALSE))</f>
        <v/>
      </c>
      <c r="C104" s="160" t="str">
        <f t="shared" si="8"/>
        <v/>
      </c>
      <c r="D104" s="140" t="str">
        <f t="shared" si="9"/>
        <v/>
      </c>
      <c r="E104" s="152"/>
      <c r="F104" s="141" t="str">
        <f t="shared" si="10"/>
        <v/>
      </c>
      <c r="G104" s="156"/>
      <c r="H104" s="156"/>
      <c r="I104" s="156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dio'!#REF!,'Opći dio'!#REF!,10,FALSE))</f>
        <v/>
      </c>
      <c r="B105" s="142" t="str">
        <f>IF(E105="","",VLOOKUP('Opći dio'!#REF!,'Opći dio'!#REF!,9,FALSE))</f>
        <v/>
      </c>
      <c r="C105" s="160" t="str">
        <f t="shared" si="8"/>
        <v/>
      </c>
      <c r="D105" s="140" t="str">
        <f t="shared" si="9"/>
        <v/>
      </c>
      <c r="E105" s="152"/>
      <c r="F105" s="141" t="str">
        <f t="shared" si="10"/>
        <v/>
      </c>
      <c r="G105" s="156"/>
      <c r="H105" s="156"/>
      <c r="I105" s="156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dio'!#REF!,'Opći dio'!#REF!,10,FALSE))</f>
        <v/>
      </c>
      <c r="B106" s="142" t="str">
        <f>IF(E106="","",VLOOKUP('Opći dio'!#REF!,'Opći dio'!#REF!,9,FALSE))</f>
        <v/>
      </c>
      <c r="C106" s="160" t="str">
        <f t="shared" si="8"/>
        <v/>
      </c>
      <c r="D106" s="140" t="str">
        <f t="shared" si="9"/>
        <v/>
      </c>
      <c r="E106" s="152"/>
      <c r="F106" s="141" t="str">
        <f t="shared" si="10"/>
        <v/>
      </c>
      <c r="G106" s="156"/>
      <c r="H106" s="156"/>
      <c r="I106" s="156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dio'!#REF!,'Opći dio'!#REF!,10,FALSE))</f>
        <v/>
      </c>
      <c r="B107" s="142" t="str">
        <f>IF(E107="","",VLOOKUP('Opći dio'!#REF!,'Opći dio'!#REF!,9,FALSE))</f>
        <v/>
      </c>
      <c r="C107" s="160" t="str">
        <f t="shared" si="8"/>
        <v/>
      </c>
      <c r="D107" s="140" t="str">
        <f t="shared" si="9"/>
        <v/>
      </c>
      <c r="E107" s="152"/>
      <c r="F107" s="141" t="str">
        <f t="shared" si="10"/>
        <v/>
      </c>
      <c r="G107" s="156"/>
      <c r="H107" s="156"/>
      <c r="I107" s="156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dio'!#REF!,'Opći dio'!#REF!,10,FALSE))</f>
        <v/>
      </c>
      <c r="B108" s="142" t="str">
        <f>IF(E108="","",VLOOKUP('Opći dio'!#REF!,'Opći dio'!#REF!,9,FALSE))</f>
        <v/>
      </c>
      <c r="C108" s="160" t="str">
        <f t="shared" si="8"/>
        <v/>
      </c>
      <c r="D108" s="140" t="str">
        <f t="shared" si="9"/>
        <v/>
      </c>
      <c r="E108" s="152"/>
      <c r="F108" s="141" t="str">
        <f t="shared" si="10"/>
        <v/>
      </c>
      <c r="G108" s="156"/>
      <c r="H108" s="156"/>
      <c r="I108" s="156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dio'!#REF!,'Opći dio'!#REF!,10,FALSE))</f>
        <v/>
      </c>
      <c r="B109" s="142" t="str">
        <f>IF(E109="","",VLOOKUP('Opći dio'!#REF!,'Opći dio'!#REF!,9,FALSE))</f>
        <v/>
      </c>
      <c r="C109" s="160" t="str">
        <f t="shared" si="8"/>
        <v/>
      </c>
      <c r="D109" s="140" t="str">
        <f t="shared" si="9"/>
        <v/>
      </c>
      <c r="E109" s="152"/>
      <c r="F109" s="141" t="str">
        <f t="shared" si="10"/>
        <v/>
      </c>
      <c r="G109" s="156"/>
      <c r="H109" s="156"/>
      <c r="I109" s="156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dio'!#REF!,'Opći dio'!#REF!,10,FALSE))</f>
        <v/>
      </c>
      <c r="B110" s="142" t="str">
        <f>IF(E110="","",VLOOKUP('Opći dio'!#REF!,'Opći dio'!#REF!,9,FALSE))</f>
        <v/>
      </c>
      <c r="C110" s="160" t="str">
        <f t="shared" si="8"/>
        <v/>
      </c>
      <c r="D110" s="140" t="str">
        <f t="shared" si="9"/>
        <v/>
      </c>
      <c r="E110" s="152"/>
      <c r="F110" s="141" t="str">
        <f t="shared" si="10"/>
        <v/>
      </c>
      <c r="G110" s="156"/>
      <c r="H110" s="156"/>
      <c r="I110" s="156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dio'!#REF!,'Opći dio'!#REF!,10,FALSE))</f>
        <v/>
      </c>
      <c r="B111" s="142" t="str">
        <f>IF(E111="","",VLOOKUP('Opći dio'!#REF!,'Opći dio'!#REF!,9,FALSE))</f>
        <v/>
      </c>
      <c r="C111" s="160" t="str">
        <f t="shared" si="8"/>
        <v/>
      </c>
      <c r="D111" s="140" t="str">
        <f t="shared" si="9"/>
        <v/>
      </c>
      <c r="E111" s="152"/>
      <c r="F111" s="141" t="str">
        <f t="shared" si="10"/>
        <v/>
      </c>
      <c r="G111" s="156"/>
      <c r="H111" s="156"/>
      <c r="I111" s="156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dio'!#REF!,'Opći dio'!#REF!,10,FALSE))</f>
        <v/>
      </c>
      <c r="B112" s="142" t="str">
        <f>IF(E112="","",VLOOKUP('Opći dio'!#REF!,'Opći dio'!#REF!,9,FALSE))</f>
        <v/>
      </c>
      <c r="C112" s="160" t="str">
        <f t="shared" si="8"/>
        <v/>
      </c>
      <c r="D112" s="140" t="str">
        <f t="shared" si="9"/>
        <v/>
      </c>
      <c r="E112" s="152"/>
      <c r="F112" s="141" t="str">
        <f t="shared" si="10"/>
        <v/>
      </c>
      <c r="G112" s="156"/>
      <c r="H112" s="156"/>
      <c r="I112" s="156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dio'!#REF!,'Opći dio'!#REF!,10,FALSE))</f>
        <v/>
      </c>
      <c r="B113" s="142" t="str">
        <f>IF(E113="","",VLOOKUP('Opći dio'!#REF!,'Opći dio'!#REF!,9,FALSE))</f>
        <v/>
      </c>
      <c r="C113" s="160" t="str">
        <f t="shared" si="8"/>
        <v/>
      </c>
      <c r="D113" s="140" t="str">
        <f t="shared" si="9"/>
        <v/>
      </c>
      <c r="E113" s="152"/>
      <c r="F113" s="141" t="str">
        <f t="shared" si="10"/>
        <v/>
      </c>
      <c r="G113" s="156"/>
      <c r="H113" s="156"/>
      <c r="I113" s="156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dio'!#REF!,'Opći dio'!#REF!,10,FALSE))</f>
        <v/>
      </c>
      <c r="B114" s="142" t="str">
        <f>IF(E114="","",VLOOKUP('Opći dio'!#REF!,'Opći dio'!#REF!,9,FALSE))</f>
        <v/>
      </c>
      <c r="C114" s="160" t="str">
        <f t="shared" si="8"/>
        <v/>
      </c>
      <c r="D114" s="140" t="str">
        <f t="shared" si="9"/>
        <v/>
      </c>
      <c r="E114" s="152"/>
      <c r="F114" s="141" t="str">
        <f t="shared" si="10"/>
        <v/>
      </c>
      <c r="G114" s="156"/>
      <c r="H114" s="156"/>
      <c r="I114" s="156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dio'!#REF!,'Opći dio'!#REF!,10,FALSE))</f>
        <v/>
      </c>
      <c r="B115" s="142" t="str">
        <f>IF(E115="","",VLOOKUP('Opći dio'!#REF!,'Opći dio'!#REF!,9,FALSE))</f>
        <v/>
      </c>
      <c r="C115" s="160" t="str">
        <f t="shared" si="8"/>
        <v/>
      </c>
      <c r="D115" s="140" t="str">
        <f t="shared" si="9"/>
        <v/>
      </c>
      <c r="E115" s="152"/>
      <c r="F115" s="141" t="str">
        <f t="shared" si="10"/>
        <v/>
      </c>
      <c r="G115" s="156"/>
      <c r="H115" s="156"/>
      <c r="I115" s="156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dio'!#REF!,'Opći dio'!#REF!,10,FALSE))</f>
        <v/>
      </c>
      <c r="B116" s="142" t="str">
        <f>IF(E116="","",VLOOKUP('Opći dio'!#REF!,'Opći dio'!#REF!,9,FALSE))</f>
        <v/>
      </c>
      <c r="C116" s="160" t="str">
        <f t="shared" si="8"/>
        <v/>
      </c>
      <c r="D116" s="140" t="str">
        <f t="shared" si="9"/>
        <v/>
      </c>
      <c r="E116" s="152"/>
      <c r="F116" s="141" t="str">
        <f t="shared" si="10"/>
        <v/>
      </c>
      <c r="G116" s="156"/>
      <c r="H116" s="156"/>
      <c r="I116" s="156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dio'!#REF!,'Opći dio'!#REF!,10,FALSE))</f>
        <v/>
      </c>
      <c r="B117" s="142" t="str">
        <f>IF(E117="","",VLOOKUP('Opći dio'!#REF!,'Opći dio'!#REF!,9,FALSE))</f>
        <v/>
      </c>
      <c r="C117" s="160" t="str">
        <f t="shared" si="8"/>
        <v/>
      </c>
      <c r="D117" s="140" t="str">
        <f t="shared" si="9"/>
        <v/>
      </c>
      <c r="E117" s="152"/>
      <c r="F117" s="141" t="str">
        <f t="shared" si="10"/>
        <v/>
      </c>
      <c r="G117" s="156"/>
      <c r="H117" s="156"/>
      <c r="I117" s="156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dio'!#REF!,'Opći dio'!#REF!,10,FALSE))</f>
        <v/>
      </c>
      <c r="B118" s="142" t="str">
        <f>IF(E118="","",VLOOKUP('Opći dio'!#REF!,'Opći dio'!#REF!,9,FALSE))</f>
        <v/>
      </c>
      <c r="C118" s="160" t="str">
        <f t="shared" si="8"/>
        <v/>
      </c>
      <c r="D118" s="140" t="str">
        <f t="shared" si="9"/>
        <v/>
      </c>
      <c r="E118" s="152"/>
      <c r="F118" s="141" t="str">
        <f t="shared" si="10"/>
        <v/>
      </c>
      <c r="G118" s="156"/>
      <c r="H118" s="156"/>
      <c r="I118" s="156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dio'!#REF!,'Opći dio'!#REF!,10,FALSE))</f>
        <v/>
      </c>
      <c r="B119" s="142" t="str">
        <f>IF(E119="","",VLOOKUP('Opći dio'!#REF!,'Opći dio'!#REF!,9,FALSE))</f>
        <v/>
      </c>
      <c r="C119" s="160" t="str">
        <f t="shared" si="8"/>
        <v/>
      </c>
      <c r="D119" s="140" t="str">
        <f t="shared" si="9"/>
        <v/>
      </c>
      <c r="E119" s="152"/>
      <c r="F119" s="141" t="str">
        <f t="shared" si="10"/>
        <v/>
      </c>
      <c r="G119" s="156"/>
      <c r="H119" s="156"/>
      <c r="I119" s="156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dio'!#REF!,'Opći dio'!#REF!,10,FALSE))</f>
        <v/>
      </c>
      <c r="B120" s="142" t="str">
        <f>IF(E120="","",VLOOKUP('Opći dio'!#REF!,'Opći dio'!#REF!,9,FALSE))</f>
        <v/>
      </c>
      <c r="C120" s="160" t="str">
        <f t="shared" si="8"/>
        <v/>
      </c>
      <c r="D120" s="140" t="str">
        <f t="shared" si="9"/>
        <v/>
      </c>
      <c r="E120" s="152"/>
      <c r="F120" s="141" t="str">
        <f t="shared" si="10"/>
        <v/>
      </c>
      <c r="G120" s="156"/>
      <c r="H120" s="156"/>
      <c r="I120" s="156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dio'!#REF!,'Opći dio'!#REF!,10,FALSE))</f>
        <v/>
      </c>
      <c r="B121" s="142" t="str">
        <f>IF(E121="","",VLOOKUP('Opći dio'!#REF!,'Opći dio'!#REF!,9,FALSE))</f>
        <v/>
      </c>
      <c r="C121" s="160" t="str">
        <f t="shared" si="8"/>
        <v/>
      </c>
      <c r="D121" s="140" t="str">
        <f t="shared" si="9"/>
        <v/>
      </c>
      <c r="E121" s="152"/>
      <c r="F121" s="141" t="str">
        <f t="shared" si="10"/>
        <v/>
      </c>
      <c r="G121" s="156"/>
      <c r="H121" s="156"/>
      <c r="I121" s="156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dio'!#REF!,'Opći dio'!#REF!,10,FALSE))</f>
        <v/>
      </c>
      <c r="B122" s="142" t="str">
        <f>IF(E122="","",VLOOKUP('Opći dio'!#REF!,'Opći dio'!#REF!,9,FALSE))</f>
        <v/>
      </c>
      <c r="C122" s="160" t="str">
        <f t="shared" si="8"/>
        <v/>
      </c>
      <c r="D122" s="140" t="str">
        <f t="shared" si="9"/>
        <v/>
      </c>
      <c r="E122" s="152"/>
      <c r="F122" s="141" t="str">
        <f t="shared" si="10"/>
        <v/>
      </c>
      <c r="G122" s="156"/>
      <c r="H122" s="156"/>
      <c r="I122" s="156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dio'!#REF!,'Opći dio'!#REF!,10,FALSE))</f>
        <v/>
      </c>
      <c r="B123" s="142" t="str">
        <f>IF(E123="","",VLOOKUP('Opći dio'!#REF!,'Opći dio'!#REF!,9,FALSE))</f>
        <v/>
      </c>
      <c r="C123" s="160" t="str">
        <f t="shared" si="8"/>
        <v/>
      </c>
      <c r="D123" s="140" t="str">
        <f t="shared" si="9"/>
        <v/>
      </c>
      <c r="E123" s="152"/>
      <c r="F123" s="141" t="str">
        <f t="shared" si="10"/>
        <v/>
      </c>
      <c r="G123" s="156"/>
      <c r="H123" s="156"/>
      <c r="I123" s="156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dio'!#REF!,'Opći dio'!#REF!,10,FALSE))</f>
        <v/>
      </c>
      <c r="B124" s="142" t="str">
        <f>IF(E124="","",VLOOKUP('Opći dio'!#REF!,'Opći dio'!#REF!,9,FALSE))</f>
        <v/>
      </c>
      <c r="C124" s="160" t="str">
        <f t="shared" si="8"/>
        <v/>
      </c>
      <c r="D124" s="140" t="str">
        <f t="shared" si="9"/>
        <v/>
      </c>
      <c r="E124" s="152"/>
      <c r="F124" s="141" t="str">
        <f t="shared" si="10"/>
        <v/>
      </c>
      <c r="G124" s="156"/>
      <c r="H124" s="156"/>
      <c r="I124" s="156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dio'!#REF!,'Opći dio'!#REF!,10,FALSE))</f>
        <v/>
      </c>
      <c r="B125" s="142" t="str">
        <f>IF(E125="","",VLOOKUP('Opći dio'!#REF!,'Opći dio'!#REF!,9,FALSE))</f>
        <v/>
      </c>
      <c r="C125" s="160" t="str">
        <f t="shared" si="8"/>
        <v/>
      </c>
      <c r="D125" s="140" t="str">
        <f t="shared" si="9"/>
        <v/>
      </c>
      <c r="E125" s="152"/>
      <c r="F125" s="141" t="str">
        <f t="shared" si="10"/>
        <v/>
      </c>
      <c r="G125" s="156"/>
      <c r="H125" s="156"/>
      <c r="I125" s="156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dio'!#REF!,'Opći dio'!#REF!,10,FALSE))</f>
        <v/>
      </c>
      <c r="B126" s="142" t="str">
        <f>IF(E126="","",VLOOKUP('Opći dio'!#REF!,'Opći dio'!#REF!,9,FALSE))</f>
        <v/>
      </c>
      <c r="C126" s="160" t="str">
        <f t="shared" si="8"/>
        <v/>
      </c>
      <c r="D126" s="140" t="str">
        <f t="shared" si="9"/>
        <v/>
      </c>
      <c r="E126" s="152"/>
      <c r="F126" s="141" t="str">
        <f t="shared" si="10"/>
        <v/>
      </c>
      <c r="G126" s="156"/>
      <c r="H126" s="156"/>
      <c r="I126" s="156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dio'!#REF!,'Opći dio'!#REF!,10,FALSE))</f>
        <v/>
      </c>
      <c r="B127" s="142" t="str">
        <f>IF(E127="","",VLOOKUP('Opći dio'!#REF!,'Opći dio'!#REF!,9,FALSE))</f>
        <v/>
      </c>
      <c r="C127" s="160" t="str">
        <f t="shared" si="8"/>
        <v/>
      </c>
      <c r="D127" s="140" t="str">
        <f t="shared" si="9"/>
        <v/>
      </c>
      <c r="E127" s="152"/>
      <c r="F127" s="141" t="str">
        <f t="shared" si="10"/>
        <v/>
      </c>
      <c r="G127" s="156"/>
      <c r="H127" s="156"/>
      <c r="I127" s="156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dio'!#REF!,'Opći dio'!#REF!,10,FALSE))</f>
        <v/>
      </c>
      <c r="B128" s="142" t="str">
        <f>IF(E128="","",VLOOKUP('Opći dio'!#REF!,'Opći dio'!#REF!,9,FALSE))</f>
        <v/>
      </c>
      <c r="C128" s="160" t="str">
        <f t="shared" si="8"/>
        <v/>
      </c>
      <c r="D128" s="140" t="str">
        <f t="shared" si="9"/>
        <v/>
      </c>
      <c r="E128" s="152"/>
      <c r="F128" s="141" t="str">
        <f t="shared" si="10"/>
        <v/>
      </c>
      <c r="G128" s="156"/>
      <c r="H128" s="156"/>
      <c r="I128" s="156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dio'!#REF!,'Opći dio'!#REF!,10,FALSE))</f>
        <v/>
      </c>
      <c r="B129" s="142" t="str">
        <f>IF(E129="","",VLOOKUP('Opći dio'!#REF!,'Opći dio'!#REF!,9,FALSE))</f>
        <v/>
      </c>
      <c r="C129" s="160" t="str">
        <f t="shared" si="8"/>
        <v/>
      </c>
      <c r="D129" s="140" t="str">
        <f t="shared" si="9"/>
        <v/>
      </c>
      <c r="E129" s="152"/>
      <c r="F129" s="141" t="str">
        <f t="shared" si="10"/>
        <v/>
      </c>
      <c r="G129" s="156"/>
      <c r="H129" s="156"/>
      <c r="I129" s="156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dio'!#REF!,'Opći dio'!#REF!,10,FALSE))</f>
        <v/>
      </c>
      <c r="B130" s="142" t="str">
        <f>IF(E130="","",VLOOKUP('Opći dio'!#REF!,'Opći dio'!#REF!,9,FALSE))</f>
        <v/>
      </c>
      <c r="C130" s="160" t="str">
        <f t="shared" si="8"/>
        <v/>
      </c>
      <c r="D130" s="140" t="str">
        <f t="shared" si="9"/>
        <v/>
      </c>
      <c r="E130" s="152"/>
      <c r="F130" s="141" t="str">
        <f t="shared" si="10"/>
        <v/>
      </c>
      <c r="G130" s="156"/>
      <c r="H130" s="156"/>
      <c r="I130" s="156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dio'!#REF!,'Opći dio'!#REF!,10,FALSE))</f>
        <v/>
      </c>
      <c r="B131" s="142" t="str">
        <f>IF(E131="","",VLOOKUP('Opći dio'!#REF!,'Opći dio'!#REF!,9,FALSE))</f>
        <v/>
      </c>
      <c r="C131" s="160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2"/>
      <c r="F131" s="141" t="str">
        <f t="shared" ref="F131:F194" si="15">IFERROR(VLOOKUP(E131,$R$6:$U$73,2,FALSE),"")</f>
        <v/>
      </c>
      <c r="G131" s="156"/>
      <c r="H131" s="156"/>
      <c r="I131" s="156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dio'!#REF!,'Opći dio'!#REF!,10,FALSE))</f>
        <v/>
      </c>
      <c r="B132" s="142" t="str">
        <f>IF(E132="","",VLOOKUP('Opći dio'!#REF!,'Opći dio'!#REF!,9,FALSE))</f>
        <v/>
      </c>
      <c r="C132" s="160" t="str">
        <f t="shared" si="13"/>
        <v/>
      </c>
      <c r="D132" s="140" t="str">
        <f t="shared" si="14"/>
        <v/>
      </c>
      <c r="E132" s="152"/>
      <c r="F132" s="141" t="str">
        <f t="shared" si="15"/>
        <v/>
      </c>
      <c r="G132" s="156"/>
      <c r="H132" s="156"/>
      <c r="I132" s="156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dio'!#REF!,'Opći dio'!#REF!,10,FALSE))</f>
        <v/>
      </c>
      <c r="B133" s="142" t="str">
        <f>IF(E133="","",VLOOKUP('Opći dio'!#REF!,'Opći dio'!#REF!,9,FALSE))</f>
        <v/>
      </c>
      <c r="C133" s="160" t="str">
        <f t="shared" si="13"/>
        <v/>
      </c>
      <c r="D133" s="140" t="str">
        <f t="shared" si="14"/>
        <v/>
      </c>
      <c r="E133" s="152"/>
      <c r="F133" s="141" t="str">
        <f t="shared" si="15"/>
        <v/>
      </c>
      <c r="G133" s="156"/>
      <c r="H133" s="156"/>
      <c r="I133" s="156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dio'!#REF!,'Opći dio'!#REF!,10,FALSE))</f>
        <v/>
      </c>
      <c r="B134" s="142" t="str">
        <f>IF(E134="","",VLOOKUP('Opći dio'!#REF!,'Opći dio'!#REF!,9,FALSE))</f>
        <v/>
      </c>
      <c r="C134" s="160" t="str">
        <f t="shared" si="13"/>
        <v/>
      </c>
      <c r="D134" s="140" t="str">
        <f t="shared" si="14"/>
        <v/>
      </c>
      <c r="E134" s="152"/>
      <c r="F134" s="141" t="str">
        <f t="shared" si="15"/>
        <v/>
      </c>
      <c r="G134" s="156"/>
      <c r="H134" s="156"/>
      <c r="I134" s="156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dio'!#REF!,'Opći dio'!#REF!,10,FALSE))</f>
        <v/>
      </c>
      <c r="B135" s="142" t="str">
        <f>IF(E135="","",VLOOKUP('Opći dio'!#REF!,'Opći dio'!#REF!,9,FALSE))</f>
        <v/>
      </c>
      <c r="C135" s="160" t="str">
        <f t="shared" si="13"/>
        <v/>
      </c>
      <c r="D135" s="140" t="str">
        <f t="shared" si="14"/>
        <v/>
      </c>
      <c r="E135" s="152"/>
      <c r="F135" s="141" t="str">
        <f t="shared" si="15"/>
        <v/>
      </c>
      <c r="G135" s="156"/>
      <c r="H135" s="156"/>
      <c r="I135" s="156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dio'!#REF!,'Opći dio'!#REF!,10,FALSE))</f>
        <v/>
      </c>
      <c r="B136" s="142" t="str">
        <f>IF(E136="","",VLOOKUP('Opći dio'!#REF!,'Opći dio'!#REF!,9,FALSE))</f>
        <v/>
      </c>
      <c r="C136" s="160" t="str">
        <f t="shared" si="13"/>
        <v/>
      </c>
      <c r="D136" s="140" t="str">
        <f t="shared" si="14"/>
        <v/>
      </c>
      <c r="E136" s="152"/>
      <c r="F136" s="141" t="str">
        <f t="shared" si="15"/>
        <v/>
      </c>
      <c r="G136" s="156"/>
      <c r="H136" s="156"/>
      <c r="I136" s="156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dio'!#REF!,'Opći dio'!#REF!,10,FALSE))</f>
        <v/>
      </c>
      <c r="B137" s="142" t="str">
        <f>IF(E137="","",VLOOKUP('Opći dio'!#REF!,'Opći dio'!#REF!,9,FALSE))</f>
        <v/>
      </c>
      <c r="C137" s="160" t="str">
        <f t="shared" si="13"/>
        <v/>
      </c>
      <c r="D137" s="140" t="str">
        <f t="shared" si="14"/>
        <v/>
      </c>
      <c r="E137" s="152"/>
      <c r="F137" s="141" t="str">
        <f t="shared" si="15"/>
        <v/>
      </c>
      <c r="G137" s="156"/>
      <c r="H137" s="156"/>
      <c r="I137" s="156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dio'!#REF!,'Opći dio'!#REF!,10,FALSE))</f>
        <v/>
      </c>
      <c r="B138" s="142" t="str">
        <f>IF(E138="","",VLOOKUP('Opći dio'!#REF!,'Opći dio'!#REF!,9,FALSE))</f>
        <v/>
      </c>
      <c r="C138" s="160" t="str">
        <f t="shared" si="13"/>
        <v/>
      </c>
      <c r="D138" s="140" t="str">
        <f t="shared" si="14"/>
        <v/>
      </c>
      <c r="E138" s="152"/>
      <c r="F138" s="141" t="str">
        <f t="shared" si="15"/>
        <v/>
      </c>
      <c r="G138" s="156"/>
      <c r="H138" s="156"/>
      <c r="I138" s="156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dio'!#REF!,'Opći dio'!#REF!,10,FALSE))</f>
        <v/>
      </c>
      <c r="B139" s="142" t="str">
        <f>IF(E139="","",VLOOKUP('Opći dio'!#REF!,'Opći dio'!#REF!,9,FALSE))</f>
        <v/>
      </c>
      <c r="C139" s="160" t="str">
        <f t="shared" si="13"/>
        <v/>
      </c>
      <c r="D139" s="140" t="str">
        <f t="shared" si="14"/>
        <v/>
      </c>
      <c r="E139" s="152"/>
      <c r="F139" s="141" t="str">
        <f t="shared" si="15"/>
        <v/>
      </c>
      <c r="G139" s="156"/>
      <c r="H139" s="156"/>
      <c r="I139" s="156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dio'!#REF!,'Opći dio'!#REF!,10,FALSE))</f>
        <v/>
      </c>
      <c r="B140" s="142" t="str">
        <f>IF(E140="","",VLOOKUP('Opći dio'!#REF!,'Opći dio'!#REF!,9,FALSE))</f>
        <v/>
      </c>
      <c r="C140" s="160" t="str">
        <f t="shared" si="13"/>
        <v/>
      </c>
      <c r="D140" s="140" t="str">
        <f t="shared" si="14"/>
        <v/>
      </c>
      <c r="E140" s="152"/>
      <c r="F140" s="141" t="str">
        <f t="shared" si="15"/>
        <v/>
      </c>
      <c r="G140" s="156"/>
      <c r="H140" s="156"/>
      <c r="I140" s="156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dio'!#REF!,'Opći dio'!#REF!,10,FALSE))</f>
        <v/>
      </c>
      <c r="B141" s="142" t="str">
        <f>IF(E141="","",VLOOKUP('Opći dio'!#REF!,'Opći dio'!#REF!,9,FALSE))</f>
        <v/>
      </c>
      <c r="C141" s="160" t="str">
        <f t="shared" si="13"/>
        <v/>
      </c>
      <c r="D141" s="140" t="str">
        <f t="shared" si="14"/>
        <v/>
      </c>
      <c r="E141" s="152"/>
      <c r="F141" s="141" t="str">
        <f t="shared" si="15"/>
        <v/>
      </c>
      <c r="G141" s="156"/>
      <c r="H141" s="156"/>
      <c r="I141" s="156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dio'!#REF!,'Opći dio'!#REF!,10,FALSE))</f>
        <v/>
      </c>
      <c r="B142" s="142" t="str">
        <f>IF(E142="","",VLOOKUP('Opći dio'!#REF!,'Opći dio'!#REF!,9,FALSE))</f>
        <v/>
      </c>
      <c r="C142" s="160" t="str">
        <f t="shared" si="13"/>
        <v/>
      </c>
      <c r="D142" s="140" t="str">
        <f t="shared" si="14"/>
        <v/>
      </c>
      <c r="E142" s="152"/>
      <c r="F142" s="141" t="str">
        <f t="shared" si="15"/>
        <v/>
      </c>
      <c r="G142" s="156"/>
      <c r="H142" s="156"/>
      <c r="I142" s="156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dio'!#REF!,'Opći dio'!#REF!,10,FALSE))</f>
        <v/>
      </c>
      <c r="B143" s="142" t="str">
        <f>IF(E143="","",VLOOKUP('Opći dio'!#REF!,'Opći dio'!#REF!,9,FALSE))</f>
        <v/>
      </c>
      <c r="C143" s="160" t="str">
        <f t="shared" si="13"/>
        <v/>
      </c>
      <c r="D143" s="140" t="str">
        <f t="shared" si="14"/>
        <v/>
      </c>
      <c r="E143" s="152"/>
      <c r="F143" s="141" t="str">
        <f t="shared" si="15"/>
        <v/>
      </c>
      <c r="G143" s="156"/>
      <c r="H143" s="156"/>
      <c r="I143" s="156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dio'!#REF!,'Opći dio'!#REF!,10,FALSE))</f>
        <v/>
      </c>
      <c r="B144" s="142" t="str">
        <f>IF(E144="","",VLOOKUP('Opći dio'!#REF!,'Opći dio'!#REF!,9,FALSE))</f>
        <v/>
      </c>
      <c r="C144" s="160" t="str">
        <f t="shared" si="13"/>
        <v/>
      </c>
      <c r="D144" s="140" t="str">
        <f t="shared" si="14"/>
        <v/>
      </c>
      <c r="E144" s="152"/>
      <c r="F144" s="141" t="str">
        <f t="shared" si="15"/>
        <v/>
      </c>
      <c r="G144" s="156"/>
      <c r="H144" s="156"/>
      <c r="I144" s="156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dio'!#REF!,'Opći dio'!#REF!,10,FALSE))</f>
        <v/>
      </c>
      <c r="B145" s="142" t="str">
        <f>IF(E145="","",VLOOKUP('Opći dio'!#REF!,'Opći dio'!#REF!,9,FALSE))</f>
        <v/>
      </c>
      <c r="C145" s="160" t="str">
        <f t="shared" si="13"/>
        <v/>
      </c>
      <c r="D145" s="140" t="str">
        <f t="shared" si="14"/>
        <v/>
      </c>
      <c r="E145" s="152"/>
      <c r="F145" s="141" t="str">
        <f t="shared" si="15"/>
        <v/>
      </c>
      <c r="G145" s="156"/>
      <c r="H145" s="156"/>
      <c r="I145" s="156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dio'!#REF!,'Opći dio'!#REF!,10,FALSE))</f>
        <v/>
      </c>
      <c r="B146" s="142" t="str">
        <f>IF(E146="","",VLOOKUP('Opći dio'!#REF!,'Opći dio'!#REF!,9,FALSE))</f>
        <v/>
      </c>
      <c r="C146" s="160" t="str">
        <f t="shared" si="13"/>
        <v/>
      </c>
      <c r="D146" s="140" t="str">
        <f t="shared" si="14"/>
        <v/>
      </c>
      <c r="E146" s="152"/>
      <c r="F146" s="141" t="str">
        <f t="shared" si="15"/>
        <v/>
      </c>
      <c r="G146" s="156"/>
      <c r="H146" s="156"/>
      <c r="I146" s="156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dio'!#REF!,'Opći dio'!#REF!,10,FALSE))</f>
        <v/>
      </c>
      <c r="B147" s="142" t="str">
        <f>IF(E147="","",VLOOKUP('Opći dio'!#REF!,'Opći dio'!#REF!,9,FALSE))</f>
        <v/>
      </c>
      <c r="C147" s="160" t="str">
        <f t="shared" si="13"/>
        <v/>
      </c>
      <c r="D147" s="140" t="str">
        <f t="shared" si="14"/>
        <v/>
      </c>
      <c r="E147" s="152"/>
      <c r="F147" s="141" t="str">
        <f t="shared" si="15"/>
        <v/>
      </c>
      <c r="G147" s="156"/>
      <c r="H147" s="156"/>
      <c r="I147" s="156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dio'!#REF!,'Opći dio'!#REF!,10,FALSE))</f>
        <v/>
      </c>
      <c r="B148" s="142" t="str">
        <f>IF(E148="","",VLOOKUP('Opći dio'!#REF!,'Opći dio'!#REF!,9,FALSE))</f>
        <v/>
      </c>
      <c r="C148" s="160" t="str">
        <f t="shared" si="13"/>
        <v/>
      </c>
      <c r="D148" s="140" t="str">
        <f t="shared" si="14"/>
        <v/>
      </c>
      <c r="E148" s="152"/>
      <c r="F148" s="141" t="str">
        <f t="shared" si="15"/>
        <v/>
      </c>
      <c r="G148" s="156"/>
      <c r="H148" s="156"/>
      <c r="I148" s="156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dio'!#REF!,'Opći dio'!#REF!,10,FALSE))</f>
        <v/>
      </c>
      <c r="B149" s="142" t="str">
        <f>IF(E149="","",VLOOKUP('Opći dio'!#REF!,'Opći dio'!#REF!,9,FALSE))</f>
        <v/>
      </c>
      <c r="C149" s="160" t="str">
        <f t="shared" si="13"/>
        <v/>
      </c>
      <c r="D149" s="140" t="str">
        <f t="shared" si="14"/>
        <v/>
      </c>
      <c r="E149" s="152"/>
      <c r="F149" s="141" t="str">
        <f t="shared" si="15"/>
        <v/>
      </c>
      <c r="G149" s="156"/>
      <c r="H149" s="156"/>
      <c r="I149" s="156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dio'!#REF!,'Opći dio'!#REF!,10,FALSE))</f>
        <v/>
      </c>
      <c r="B150" s="142" t="str">
        <f>IF(E150="","",VLOOKUP('Opći dio'!#REF!,'Opći dio'!#REF!,9,FALSE))</f>
        <v/>
      </c>
      <c r="C150" s="160" t="str">
        <f t="shared" si="13"/>
        <v/>
      </c>
      <c r="D150" s="140" t="str">
        <f t="shared" si="14"/>
        <v/>
      </c>
      <c r="E150" s="152"/>
      <c r="F150" s="141" t="str">
        <f t="shared" si="15"/>
        <v/>
      </c>
      <c r="G150" s="156"/>
      <c r="H150" s="156"/>
      <c r="I150" s="156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dio'!#REF!,'Opći dio'!#REF!,10,FALSE))</f>
        <v/>
      </c>
      <c r="B151" s="142" t="str">
        <f>IF(E151="","",VLOOKUP('Opći dio'!#REF!,'Opći dio'!#REF!,9,FALSE))</f>
        <v/>
      </c>
      <c r="C151" s="160" t="str">
        <f t="shared" si="13"/>
        <v/>
      </c>
      <c r="D151" s="140" t="str">
        <f t="shared" si="14"/>
        <v/>
      </c>
      <c r="E151" s="152"/>
      <c r="F151" s="141" t="str">
        <f t="shared" si="15"/>
        <v/>
      </c>
      <c r="G151" s="156"/>
      <c r="H151" s="156"/>
      <c r="I151" s="156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dio'!#REF!,'Opći dio'!#REF!,10,FALSE))</f>
        <v/>
      </c>
      <c r="B152" s="142" t="str">
        <f>IF(E152="","",VLOOKUP('Opći dio'!#REF!,'Opći dio'!#REF!,9,FALSE))</f>
        <v/>
      </c>
      <c r="C152" s="160" t="str">
        <f t="shared" si="13"/>
        <v/>
      </c>
      <c r="D152" s="140" t="str">
        <f t="shared" si="14"/>
        <v/>
      </c>
      <c r="E152" s="152"/>
      <c r="F152" s="141" t="str">
        <f t="shared" si="15"/>
        <v/>
      </c>
      <c r="G152" s="156"/>
      <c r="H152" s="156"/>
      <c r="I152" s="156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dio'!#REF!,'Opći dio'!#REF!,10,FALSE))</f>
        <v/>
      </c>
      <c r="B153" s="142" t="str">
        <f>IF(E153="","",VLOOKUP('Opći dio'!#REF!,'Opći dio'!#REF!,9,FALSE))</f>
        <v/>
      </c>
      <c r="C153" s="160" t="str">
        <f t="shared" si="13"/>
        <v/>
      </c>
      <c r="D153" s="140" t="str">
        <f t="shared" si="14"/>
        <v/>
      </c>
      <c r="E153" s="152"/>
      <c r="F153" s="141" t="str">
        <f t="shared" si="15"/>
        <v/>
      </c>
      <c r="G153" s="156"/>
      <c r="H153" s="156"/>
      <c r="I153" s="156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dio'!#REF!,'Opći dio'!#REF!,10,FALSE))</f>
        <v/>
      </c>
      <c r="B154" s="142" t="str">
        <f>IF(E154="","",VLOOKUP('Opći dio'!#REF!,'Opći dio'!#REF!,9,FALSE))</f>
        <v/>
      </c>
      <c r="C154" s="160" t="str">
        <f t="shared" si="13"/>
        <v/>
      </c>
      <c r="D154" s="140" t="str">
        <f t="shared" si="14"/>
        <v/>
      </c>
      <c r="E154" s="152"/>
      <c r="F154" s="141" t="str">
        <f t="shared" si="15"/>
        <v/>
      </c>
      <c r="G154" s="156"/>
      <c r="H154" s="156"/>
      <c r="I154" s="156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dio'!#REF!,'Opći dio'!#REF!,10,FALSE))</f>
        <v/>
      </c>
      <c r="B155" s="142" t="str">
        <f>IF(E155="","",VLOOKUP('Opći dio'!#REF!,'Opći dio'!#REF!,9,FALSE))</f>
        <v/>
      </c>
      <c r="C155" s="160" t="str">
        <f t="shared" si="13"/>
        <v/>
      </c>
      <c r="D155" s="140" t="str">
        <f t="shared" si="14"/>
        <v/>
      </c>
      <c r="E155" s="152"/>
      <c r="F155" s="141" t="str">
        <f t="shared" si="15"/>
        <v/>
      </c>
      <c r="G155" s="156"/>
      <c r="H155" s="156"/>
      <c r="I155" s="156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dio'!#REF!,'Opći dio'!#REF!,10,FALSE))</f>
        <v/>
      </c>
      <c r="B156" s="142" t="str">
        <f>IF(E156="","",VLOOKUP('Opći dio'!#REF!,'Opći dio'!#REF!,9,FALSE))</f>
        <v/>
      </c>
      <c r="C156" s="160" t="str">
        <f t="shared" si="13"/>
        <v/>
      </c>
      <c r="D156" s="140" t="str">
        <f t="shared" si="14"/>
        <v/>
      </c>
      <c r="E156" s="152"/>
      <c r="F156" s="141" t="str">
        <f t="shared" si="15"/>
        <v/>
      </c>
      <c r="G156" s="156"/>
      <c r="H156" s="156"/>
      <c r="I156" s="156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dio'!#REF!,'Opći dio'!#REF!,10,FALSE))</f>
        <v/>
      </c>
      <c r="B157" s="142" t="str">
        <f>IF(E157="","",VLOOKUP('Opći dio'!#REF!,'Opći dio'!#REF!,9,FALSE))</f>
        <v/>
      </c>
      <c r="C157" s="160" t="str">
        <f t="shared" si="13"/>
        <v/>
      </c>
      <c r="D157" s="140" t="str">
        <f t="shared" si="14"/>
        <v/>
      </c>
      <c r="E157" s="152"/>
      <c r="F157" s="141" t="str">
        <f t="shared" si="15"/>
        <v/>
      </c>
      <c r="G157" s="156"/>
      <c r="H157" s="156"/>
      <c r="I157" s="156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dio'!#REF!,'Opći dio'!#REF!,10,FALSE))</f>
        <v/>
      </c>
      <c r="B158" s="142" t="str">
        <f>IF(E158="","",VLOOKUP('Opći dio'!#REF!,'Opći dio'!#REF!,9,FALSE))</f>
        <v/>
      </c>
      <c r="C158" s="160" t="str">
        <f t="shared" si="13"/>
        <v/>
      </c>
      <c r="D158" s="140" t="str">
        <f t="shared" si="14"/>
        <v/>
      </c>
      <c r="E158" s="152"/>
      <c r="F158" s="141" t="str">
        <f t="shared" si="15"/>
        <v/>
      </c>
      <c r="G158" s="156"/>
      <c r="H158" s="156"/>
      <c r="I158" s="156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dio'!#REF!,'Opći dio'!#REF!,10,FALSE))</f>
        <v/>
      </c>
      <c r="B159" s="142" t="str">
        <f>IF(E159="","",VLOOKUP('Opći dio'!#REF!,'Opći dio'!#REF!,9,FALSE))</f>
        <v/>
      </c>
      <c r="C159" s="160" t="str">
        <f t="shared" si="13"/>
        <v/>
      </c>
      <c r="D159" s="140" t="str">
        <f t="shared" si="14"/>
        <v/>
      </c>
      <c r="E159" s="152"/>
      <c r="F159" s="141" t="str">
        <f t="shared" si="15"/>
        <v/>
      </c>
      <c r="G159" s="156"/>
      <c r="H159" s="156"/>
      <c r="I159" s="156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dio'!#REF!,'Opći dio'!#REF!,10,FALSE))</f>
        <v/>
      </c>
      <c r="B160" s="142" t="str">
        <f>IF(E160="","",VLOOKUP('Opći dio'!#REF!,'Opći dio'!#REF!,9,FALSE))</f>
        <v/>
      </c>
      <c r="C160" s="160" t="str">
        <f t="shared" si="13"/>
        <v/>
      </c>
      <c r="D160" s="140" t="str">
        <f t="shared" si="14"/>
        <v/>
      </c>
      <c r="E160" s="152"/>
      <c r="F160" s="141" t="str">
        <f t="shared" si="15"/>
        <v/>
      </c>
      <c r="G160" s="156"/>
      <c r="H160" s="156"/>
      <c r="I160" s="156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dio'!#REF!,'Opći dio'!#REF!,10,FALSE))</f>
        <v/>
      </c>
      <c r="B161" s="142" t="str">
        <f>IF(E161="","",VLOOKUP('Opći dio'!#REF!,'Opći dio'!#REF!,9,FALSE))</f>
        <v/>
      </c>
      <c r="C161" s="160" t="str">
        <f t="shared" si="13"/>
        <v/>
      </c>
      <c r="D161" s="140" t="str">
        <f t="shared" si="14"/>
        <v/>
      </c>
      <c r="E161" s="152"/>
      <c r="F161" s="141" t="str">
        <f t="shared" si="15"/>
        <v/>
      </c>
      <c r="G161" s="156"/>
      <c r="H161" s="156"/>
      <c r="I161" s="156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dio'!#REF!,'Opći dio'!#REF!,10,FALSE))</f>
        <v/>
      </c>
      <c r="B162" s="142" t="str">
        <f>IF(E162="","",VLOOKUP('Opći dio'!#REF!,'Opći dio'!#REF!,9,FALSE))</f>
        <v/>
      </c>
      <c r="C162" s="160" t="str">
        <f t="shared" si="13"/>
        <v/>
      </c>
      <c r="D162" s="140" t="str">
        <f t="shared" si="14"/>
        <v/>
      </c>
      <c r="E162" s="152"/>
      <c r="F162" s="141" t="str">
        <f t="shared" si="15"/>
        <v/>
      </c>
      <c r="G162" s="156"/>
      <c r="H162" s="156"/>
      <c r="I162" s="156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dio'!#REF!,'Opći dio'!#REF!,10,FALSE))</f>
        <v/>
      </c>
      <c r="B163" s="142" t="str">
        <f>IF(E163="","",VLOOKUP('Opći dio'!#REF!,'Opći dio'!#REF!,9,FALSE))</f>
        <v/>
      </c>
      <c r="C163" s="160" t="str">
        <f t="shared" si="13"/>
        <v/>
      </c>
      <c r="D163" s="140" t="str">
        <f t="shared" si="14"/>
        <v/>
      </c>
      <c r="E163" s="152"/>
      <c r="F163" s="141" t="str">
        <f t="shared" si="15"/>
        <v/>
      </c>
      <c r="G163" s="156"/>
      <c r="H163" s="156"/>
      <c r="I163" s="156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dio'!#REF!,'Opći dio'!#REF!,10,FALSE))</f>
        <v/>
      </c>
      <c r="B164" s="142" t="str">
        <f>IF(E164="","",VLOOKUP('Opći dio'!#REF!,'Opći dio'!#REF!,9,FALSE))</f>
        <v/>
      </c>
      <c r="C164" s="160" t="str">
        <f t="shared" si="13"/>
        <v/>
      </c>
      <c r="D164" s="140" t="str">
        <f t="shared" si="14"/>
        <v/>
      </c>
      <c r="E164" s="152"/>
      <c r="F164" s="141" t="str">
        <f t="shared" si="15"/>
        <v/>
      </c>
      <c r="G164" s="156"/>
      <c r="H164" s="156"/>
      <c r="I164" s="156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dio'!#REF!,'Opći dio'!#REF!,10,FALSE))</f>
        <v/>
      </c>
      <c r="B165" s="142" t="str">
        <f>IF(E165="","",VLOOKUP('Opći dio'!#REF!,'Opći dio'!#REF!,9,FALSE))</f>
        <v/>
      </c>
      <c r="C165" s="160" t="str">
        <f t="shared" si="13"/>
        <v/>
      </c>
      <c r="D165" s="140" t="str">
        <f t="shared" si="14"/>
        <v/>
      </c>
      <c r="E165" s="152"/>
      <c r="F165" s="141" t="str">
        <f t="shared" si="15"/>
        <v/>
      </c>
      <c r="G165" s="156"/>
      <c r="H165" s="156"/>
      <c r="I165" s="156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dio'!#REF!,'Opći dio'!#REF!,10,FALSE))</f>
        <v/>
      </c>
      <c r="B166" s="142" t="str">
        <f>IF(E166="","",VLOOKUP('Opći dio'!#REF!,'Opći dio'!#REF!,9,FALSE))</f>
        <v/>
      </c>
      <c r="C166" s="160" t="str">
        <f t="shared" si="13"/>
        <v/>
      </c>
      <c r="D166" s="140" t="str">
        <f t="shared" si="14"/>
        <v/>
      </c>
      <c r="E166" s="152"/>
      <c r="F166" s="141" t="str">
        <f t="shared" si="15"/>
        <v/>
      </c>
      <c r="G166" s="156"/>
      <c r="H166" s="156"/>
      <c r="I166" s="156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dio'!#REF!,'Opći dio'!#REF!,10,FALSE))</f>
        <v/>
      </c>
      <c r="B167" s="142" t="str">
        <f>IF(E167="","",VLOOKUP('Opći dio'!#REF!,'Opći dio'!#REF!,9,FALSE))</f>
        <v/>
      </c>
      <c r="C167" s="160" t="str">
        <f t="shared" si="13"/>
        <v/>
      </c>
      <c r="D167" s="140" t="str">
        <f t="shared" si="14"/>
        <v/>
      </c>
      <c r="E167" s="152"/>
      <c r="F167" s="141" t="str">
        <f t="shared" si="15"/>
        <v/>
      </c>
      <c r="G167" s="156"/>
      <c r="H167" s="156"/>
      <c r="I167" s="156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dio'!#REF!,'Opći dio'!#REF!,10,FALSE))</f>
        <v/>
      </c>
      <c r="B168" s="142" t="str">
        <f>IF(E168="","",VLOOKUP('Opći dio'!#REF!,'Opći dio'!#REF!,9,FALSE))</f>
        <v/>
      </c>
      <c r="C168" s="160" t="str">
        <f t="shared" si="13"/>
        <v/>
      </c>
      <c r="D168" s="140" t="str">
        <f t="shared" si="14"/>
        <v/>
      </c>
      <c r="E168" s="152"/>
      <c r="F168" s="141" t="str">
        <f t="shared" si="15"/>
        <v/>
      </c>
      <c r="G168" s="156"/>
      <c r="H168" s="156"/>
      <c r="I168" s="156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dio'!#REF!,'Opći dio'!#REF!,10,FALSE))</f>
        <v/>
      </c>
      <c r="B169" s="142" t="str">
        <f>IF(E169="","",VLOOKUP('Opći dio'!#REF!,'Opći dio'!#REF!,9,FALSE))</f>
        <v/>
      </c>
      <c r="C169" s="160" t="str">
        <f t="shared" si="13"/>
        <v/>
      </c>
      <c r="D169" s="140" t="str">
        <f t="shared" si="14"/>
        <v/>
      </c>
      <c r="E169" s="152"/>
      <c r="F169" s="141" t="str">
        <f t="shared" si="15"/>
        <v/>
      </c>
      <c r="G169" s="156"/>
      <c r="H169" s="156"/>
      <c r="I169" s="156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dio'!#REF!,'Opći dio'!#REF!,10,FALSE))</f>
        <v/>
      </c>
      <c r="B170" s="142" t="str">
        <f>IF(E170="","",VLOOKUP('Opći dio'!#REF!,'Opći dio'!#REF!,9,FALSE))</f>
        <v/>
      </c>
      <c r="C170" s="160" t="str">
        <f t="shared" si="13"/>
        <v/>
      </c>
      <c r="D170" s="140" t="str">
        <f t="shared" si="14"/>
        <v/>
      </c>
      <c r="E170" s="152"/>
      <c r="F170" s="141" t="str">
        <f t="shared" si="15"/>
        <v/>
      </c>
      <c r="G170" s="156"/>
      <c r="H170" s="156"/>
      <c r="I170" s="156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dio'!#REF!,'Opći dio'!#REF!,10,FALSE))</f>
        <v/>
      </c>
      <c r="B171" s="142" t="str">
        <f>IF(E171="","",VLOOKUP('Opći dio'!#REF!,'Opći dio'!#REF!,9,FALSE))</f>
        <v/>
      </c>
      <c r="C171" s="160" t="str">
        <f t="shared" si="13"/>
        <v/>
      </c>
      <c r="D171" s="140" t="str">
        <f t="shared" si="14"/>
        <v/>
      </c>
      <c r="E171" s="152"/>
      <c r="F171" s="141" t="str">
        <f t="shared" si="15"/>
        <v/>
      </c>
      <c r="G171" s="156"/>
      <c r="H171" s="156"/>
      <c r="I171" s="156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dio'!#REF!,'Opći dio'!#REF!,10,FALSE))</f>
        <v/>
      </c>
      <c r="B172" s="142" t="str">
        <f>IF(E172="","",VLOOKUP('Opći dio'!#REF!,'Opći dio'!#REF!,9,FALSE))</f>
        <v/>
      </c>
      <c r="C172" s="160" t="str">
        <f t="shared" si="13"/>
        <v/>
      </c>
      <c r="D172" s="140" t="str">
        <f t="shared" si="14"/>
        <v/>
      </c>
      <c r="E172" s="152"/>
      <c r="F172" s="141" t="str">
        <f t="shared" si="15"/>
        <v/>
      </c>
      <c r="G172" s="156"/>
      <c r="H172" s="156"/>
      <c r="I172" s="156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dio'!#REF!,'Opći dio'!#REF!,10,FALSE))</f>
        <v/>
      </c>
      <c r="B173" s="142" t="str">
        <f>IF(E173="","",VLOOKUP('Opći dio'!#REF!,'Opći dio'!#REF!,9,FALSE))</f>
        <v/>
      </c>
      <c r="C173" s="160" t="str">
        <f t="shared" si="13"/>
        <v/>
      </c>
      <c r="D173" s="140" t="str">
        <f t="shared" si="14"/>
        <v/>
      </c>
      <c r="E173" s="152"/>
      <c r="F173" s="141" t="str">
        <f t="shared" si="15"/>
        <v/>
      </c>
      <c r="G173" s="156"/>
      <c r="H173" s="156"/>
      <c r="I173" s="156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dio'!#REF!,'Opći dio'!#REF!,10,FALSE))</f>
        <v/>
      </c>
      <c r="B174" s="142" t="str">
        <f>IF(E174="","",VLOOKUP('Opći dio'!#REF!,'Opći dio'!#REF!,9,FALSE))</f>
        <v/>
      </c>
      <c r="C174" s="160" t="str">
        <f t="shared" si="13"/>
        <v/>
      </c>
      <c r="D174" s="140" t="str">
        <f t="shared" si="14"/>
        <v/>
      </c>
      <c r="E174" s="152"/>
      <c r="F174" s="141" t="str">
        <f t="shared" si="15"/>
        <v/>
      </c>
      <c r="G174" s="156"/>
      <c r="H174" s="156"/>
      <c r="I174" s="156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dio'!#REF!,'Opći dio'!#REF!,10,FALSE))</f>
        <v/>
      </c>
      <c r="B175" s="142" t="str">
        <f>IF(E175="","",VLOOKUP('Opći dio'!#REF!,'Opći dio'!#REF!,9,FALSE))</f>
        <v/>
      </c>
      <c r="C175" s="160" t="str">
        <f t="shared" si="13"/>
        <v/>
      </c>
      <c r="D175" s="140" t="str">
        <f t="shared" si="14"/>
        <v/>
      </c>
      <c r="E175" s="152"/>
      <c r="F175" s="141" t="str">
        <f t="shared" si="15"/>
        <v/>
      </c>
      <c r="G175" s="156"/>
      <c r="H175" s="156"/>
      <c r="I175" s="156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dio'!#REF!,'Opći dio'!#REF!,10,FALSE))</f>
        <v/>
      </c>
      <c r="B176" s="142" t="str">
        <f>IF(E176="","",VLOOKUP('Opći dio'!#REF!,'Opći dio'!#REF!,9,FALSE))</f>
        <v/>
      </c>
      <c r="C176" s="160" t="str">
        <f t="shared" si="13"/>
        <v/>
      </c>
      <c r="D176" s="140" t="str">
        <f t="shared" si="14"/>
        <v/>
      </c>
      <c r="E176" s="152"/>
      <c r="F176" s="141" t="str">
        <f t="shared" si="15"/>
        <v/>
      </c>
      <c r="G176" s="156"/>
      <c r="H176" s="156"/>
      <c r="I176" s="156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dio'!#REF!,'Opći dio'!#REF!,10,FALSE))</f>
        <v/>
      </c>
      <c r="B177" s="142" t="str">
        <f>IF(E177="","",VLOOKUP('Opći dio'!#REF!,'Opći dio'!#REF!,9,FALSE))</f>
        <v/>
      </c>
      <c r="C177" s="160" t="str">
        <f t="shared" si="13"/>
        <v/>
      </c>
      <c r="D177" s="140" t="str">
        <f t="shared" si="14"/>
        <v/>
      </c>
      <c r="E177" s="152"/>
      <c r="F177" s="141" t="str">
        <f t="shared" si="15"/>
        <v/>
      </c>
      <c r="G177" s="156"/>
      <c r="H177" s="156"/>
      <c r="I177" s="156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dio'!#REF!,'Opći dio'!#REF!,10,FALSE))</f>
        <v/>
      </c>
      <c r="B178" s="142" t="str">
        <f>IF(E178="","",VLOOKUP('Opći dio'!#REF!,'Opći dio'!#REF!,9,FALSE))</f>
        <v/>
      </c>
      <c r="C178" s="160" t="str">
        <f t="shared" si="13"/>
        <v/>
      </c>
      <c r="D178" s="140" t="str">
        <f t="shared" si="14"/>
        <v/>
      </c>
      <c r="E178" s="152"/>
      <c r="F178" s="141" t="str">
        <f t="shared" si="15"/>
        <v/>
      </c>
      <c r="G178" s="156"/>
      <c r="H178" s="156"/>
      <c r="I178" s="156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dio'!#REF!,'Opći dio'!#REF!,10,FALSE))</f>
        <v/>
      </c>
      <c r="B179" s="142" t="str">
        <f>IF(E179="","",VLOOKUP('Opći dio'!#REF!,'Opći dio'!#REF!,9,FALSE))</f>
        <v/>
      </c>
      <c r="C179" s="160" t="str">
        <f t="shared" si="13"/>
        <v/>
      </c>
      <c r="D179" s="140" t="str">
        <f t="shared" si="14"/>
        <v/>
      </c>
      <c r="E179" s="152"/>
      <c r="F179" s="141" t="str">
        <f t="shared" si="15"/>
        <v/>
      </c>
      <c r="G179" s="156"/>
      <c r="H179" s="156"/>
      <c r="I179" s="156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dio'!#REF!,'Opći dio'!#REF!,10,FALSE))</f>
        <v/>
      </c>
      <c r="B180" s="142" t="str">
        <f>IF(E180="","",VLOOKUP('Opći dio'!#REF!,'Opći dio'!#REF!,9,FALSE))</f>
        <v/>
      </c>
      <c r="C180" s="160" t="str">
        <f t="shared" si="13"/>
        <v/>
      </c>
      <c r="D180" s="140" t="str">
        <f t="shared" si="14"/>
        <v/>
      </c>
      <c r="E180" s="152"/>
      <c r="F180" s="141" t="str">
        <f t="shared" si="15"/>
        <v/>
      </c>
      <c r="G180" s="156"/>
      <c r="H180" s="156"/>
      <c r="I180" s="156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dio'!#REF!,'Opći dio'!#REF!,10,FALSE))</f>
        <v/>
      </c>
      <c r="B181" s="142" t="str">
        <f>IF(E181="","",VLOOKUP('Opći dio'!#REF!,'Opći dio'!#REF!,9,FALSE))</f>
        <v/>
      </c>
      <c r="C181" s="160" t="str">
        <f t="shared" si="13"/>
        <v/>
      </c>
      <c r="D181" s="140" t="str">
        <f t="shared" si="14"/>
        <v/>
      </c>
      <c r="E181" s="152"/>
      <c r="F181" s="141" t="str">
        <f t="shared" si="15"/>
        <v/>
      </c>
      <c r="G181" s="156"/>
      <c r="H181" s="156"/>
      <c r="I181" s="156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dio'!#REF!,'Opći dio'!#REF!,10,FALSE))</f>
        <v/>
      </c>
      <c r="B182" s="142" t="str">
        <f>IF(E182="","",VLOOKUP('Opći dio'!#REF!,'Opći dio'!#REF!,9,FALSE))</f>
        <v/>
      </c>
      <c r="C182" s="160" t="str">
        <f t="shared" si="13"/>
        <v/>
      </c>
      <c r="D182" s="140" t="str">
        <f t="shared" si="14"/>
        <v/>
      </c>
      <c r="E182" s="152"/>
      <c r="F182" s="141" t="str">
        <f t="shared" si="15"/>
        <v/>
      </c>
      <c r="G182" s="156"/>
      <c r="H182" s="156"/>
      <c r="I182" s="156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dio'!#REF!,'Opći dio'!#REF!,10,FALSE))</f>
        <v/>
      </c>
      <c r="B183" s="142" t="str">
        <f>IF(E183="","",VLOOKUP('Opći dio'!#REF!,'Opći dio'!#REF!,9,FALSE))</f>
        <v/>
      </c>
      <c r="C183" s="160" t="str">
        <f t="shared" si="13"/>
        <v/>
      </c>
      <c r="D183" s="140" t="str">
        <f t="shared" si="14"/>
        <v/>
      </c>
      <c r="E183" s="152"/>
      <c r="F183" s="141" t="str">
        <f t="shared" si="15"/>
        <v/>
      </c>
      <c r="G183" s="156"/>
      <c r="H183" s="156"/>
      <c r="I183" s="156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dio'!#REF!,'Opći dio'!#REF!,10,FALSE))</f>
        <v/>
      </c>
      <c r="B184" s="142" t="str">
        <f>IF(E184="","",VLOOKUP('Opći dio'!#REF!,'Opći dio'!#REF!,9,FALSE))</f>
        <v/>
      </c>
      <c r="C184" s="160" t="str">
        <f t="shared" si="13"/>
        <v/>
      </c>
      <c r="D184" s="140" t="str">
        <f t="shared" si="14"/>
        <v/>
      </c>
      <c r="E184" s="152"/>
      <c r="F184" s="141" t="str">
        <f t="shared" si="15"/>
        <v/>
      </c>
      <c r="G184" s="156"/>
      <c r="H184" s="156"/>
      <c r="I184" s="156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dio'!#REF!,'Opći dio'!#REF!,10,FALSE))</f>
        <v/>
      </c>
      <c r="B185" s="142" t="str">
        <f>IF(E185="","",VLOOKUP('Opći dio'!#REF!,'Opći dio'!#REF!,9,FALSE))</f>
        <v/>
      </c>
      <c r="C185" s="160" t="str">
        <f t="shared" si="13"/>
        <v/>
      </c>
      <c r="D185" s="140" t="str">
        <f t="shared" si="14"/>
        <v/>
      </c>
      <c r="E185" s="152"/>
      <c r="F185" s="141" t="str">
        <f t="shared" si="15"/>
        <v/>
      </c>
      <c r="G185" s="156"/>
      <c r="H185" s="156"/>
      <c r="I185" s="156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dio'!#REF!,'Opći dio'!#REF!,10,FALSE))</f>
        <v/>
      </c>
      <c r="B186" s="142" t="str">
        <f>IF(E186="","",VLOOKUP('Opći dio'!#REF!,'Opći dio'!#REF!,9,FALSE))</f>
        <v/>
      </c>
      <c r="C186" s="160" t="str">
        <f t="shared" si="13"/>
        <v/>
      </c>
      <c r="D186" s="140" t="str">
        <f t="shared" si="14"/>
        <v/>
      </c>
      <c r="E186" s="152"/>
      <c r="F186" s="141" t="str">
        <f t="shared" si="15"/>
        <v/>
      </c>
      <c r="G186" s="156"/>
      <c r="H186" s="156"/>
      <c r="I186" s="156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dio'!#REF!,'Opći dio'!#REF!,10,FALSE))</f>
        <v/>
      </c>
      <c r="B187" s="142" t="str">
        <f>IF(E187="","",VLOOKUP('Opći dio'!#REF!,'Opći dio'!#REF!,9,FALSE))</f>
        <v/>
      </c>
      <c r="C187" s="160" t="str">
        <f t="shared" si="13"/>
        <v/>
      </c>
      <c r="D187" s="140" t="str">
        <f t="shared" si="14"/>
        <v/>
      </c>
      <c r="E187" s="152"/>
      <c r="F187" s="141" t="str">
        <f t="shared" si="15"/>
        <v/>
      </c>
      <c r="G187" s="156"/>
      <c r="H187" s="156"/>
      <c r="I187" s="156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dio'!#REF!,'Opći dio'!#REF!,10,FALSE))</f>
        <v/>
      </c>
      <c r="B188" s="142" t="str">
        <f>IF(E188="","",VLOOKUP('Opći dio'!#REF!,'Opći dio'!#REF!,9,FALSE))</f>
        <v/>
      </c>
      <c r="C188" s="160" t="str">
        <f t="shared" si="13"/>
        <v/>
      </c>
      <c r="D188" s="140" t="str">
        <f t="shared" si="14"/>
        <v/>
      </c>
      <c r="E188" s="152"/>
      <c r="F188" s="141" t="str">
        <f t="shared" si="15"/>
        <v/>
      </c>
      <c r="G188" s="156"/>
      <c r="H188" s="156"/>
      <c r="I188" s="156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dio'!#REF!,'Opći dio'!#REF!,10,FALSE))</f>
        <v/>
      </c>
      <c r="B189" s="142" t="str">
        <f>IF(E189="","",VLOOKUP('Opći dio'!#REF!,'Opći dio'!#REF!,9,FALSE))</f>
        <v/>
      </c>
      <c r="C189" s="160" t="str">
        <f t="shared" si="13"/>
        <v/>
      </c>
      <c r="D189" s="140" t="str">
        <f t="shared" si="14"/>
        <v/>
      </c>
      <c r="E189" s="152"/>
      <c r="F189" s="141" t="str">
        <f t="shared" si="15"/>
        <v/>
      </c>
      <c r="G189" s="156"/>
      <c r="H189" s="156"/>
      <c r="I189" s="156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dio'!#REF!,'Opći dio'!#REF!,10,FALSE))</f>
        <v/>
      </c>
      <c r="B190" s="142" t="str">
        <f>IF(E190="","",VLOOKUP('Opći dio'!#REF!,'Opći dio'!#REF!,9,FALSE))</f>
        <v/>
      </c>
      <c r="C190" s="160" t="str">
        <f t="shared" si="13"/>
        <v/>
      </c>
      <c r="D190" s="140" t="str">
        <f t="shared" si="14"/>
        <v/>
      </c>
      <c r="E190" s="152"/>
      <c r="F190" s="141" t="str">
        <f t="shared" si="15"/>
        <v/>
      </c>
      <c r="G190" s="156"/>
      <c r="H190" s="156"/>
      <c r="I190" s="156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dio'!#REF!,'Opći dio'!#REF!,10,FALSE))</f>
        <v/>
      </c>
      <c r="B191" s="142" t="str">
        <f>IF(E191="","",VLOOKUP('Opći dio'!#REF!,'Opći dio'!#REF!,9,FALSE))</f>
        <v/>
      </c>
      <c r="C191" s="160" t="str">
        <f t="shared" si="13"/>
        <v/>
      </c>
      <c r="D191" s="140" t="str">
        <f t="shared" si="14"/>
        <v/>
      </c>
      <c r="E191" s="152"/>
      <c r="F191" s="141" t="str">
        <f t="shared" si="15"/>
        <v/>
      </c>
      <c r="G191" s="156"/>
      <c r="H191" s="156"/>
      <c r="I191" s="156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dio'!#REF!,'Opći dio'!#REF!,10,FALSE))</f>
        <v/>
      </c>
      <c r="B192" s="142" t="str">
        <f>IF(E192="","",VLOOKUP('Opći dio'!#REF!,'Opći dio'!#REF!,9,FALSE))</f>
        <v/>
      </c>
      <c r="C192" s="160" t="str">
        <f t="shared" si="13"/>
        <v/>
      </c>
      <c r="D192" s="140" t="str">
        <f t="shared" si="14"/>
        <v/>
      </c>
      <c r="E192" s="152"/>
      <c r="F192" s="141" t="str">
        <f t="shared" si="15"/>
        <v/>
      </c>
      <c r="G192" s="156"/>
      <c r="H192" s="156"/>
      <c r="I192" s="156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dio'!#REF!,'Opći dio'!#REF!,10,FALSE))</f>
        <v/>
      </c>
      <c r="B193" s="142" t="str">
        <f>IF(E193="","",VLOOKUP('Opći dio'!#REF!,'Opći dio'!#REF!,9,FALSE))</f>
        <v/>
      </c>
      <c r="C193" s="160" t="str">
        <f t="shared" si="13"/>
        <v/>
      </c>
      <c r="D193" s="140" t="str">
        <f t="shared" si="14"/>
        <v/>
      </c>
      <c r="E193" s="152"/>
      <c r="F193" s="141" t="str">
        <f t="shared" si="15"/>
        <v/>
      </c>
      <c r="G193" s="156"/>
      <c r="H193" s="156"/>
      <c r="I193" s="156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dio'!#REF!,'Opći dio'!#REF!,10,FALSE))</f>
        <v/>
      </c>
      <c r="B194" s="142" t="str">
        <f>IF(E194="","",VLOOKUP('Opći dio'!#REF!,'Opći dio'!#REF!,9,FALSE))</f>
        <v/>
      </c>
      <c r="C194" s="160" t="str">
        <f t="shared" si="13"/>
        <v/>
      </c>
      <c r="D194" s="140" t="str">
        <f t="shared" si="14"/>
        <v/>
      </c>
      <c r="E194" s="152"/>
      <c r="F194" s="141" t="str">
        <f t="shared" si="15"/>
        <v/>
      </c>
      <c r="G194" s="156"/>
      <c r="H194" s="156"/>
      <c r="I194" s="156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dio'!#REF!,'Opći dio'!#REF!,10,FALSE))</f>
        <v/>
      </c>
      <c r="B195" s="142" t="str">
        <f>IF(E195="","",VLOOKUP('Opći dio'!#REF!,'Opći dio'!#REF!,9,FALSE))</f>
        <v/>
      </c>
      <c r="C195" s="160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2"/>
      <c r="F195" s="141" t="str">
        <f t="shared" ref="F195:F258" si="20">IFERROR(VLOOKUP(E195,$R$6:$U$73,2,FALSE),"")</f>
        <v/>
      </c>
      <c r="G195" s="156"/>
      <c r="H195" s="156"/>
      <c r="I195" s="156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dio'!#REF!,'Opći dio'!#REF!,10,FALSE))</f>
        <v/>
      </c>
      <c r="B196" s="142" t="str">
        <f>IF(E196="","",VLOOKUP('Opći dio'!#REF!,'Opći dio'!#REF!,9,FALSE))</f>
        <v/>
      </c>
      <c r="C196" s="160" t="str">
        <f t="shared" si="18"/>
        <v/>
      </c>
      <c r="D196" s="140" t="str">
        <f t="shared" si="19"/>
        <v/>
      </c>
      <c r="E196" s="152"/>
      <c r="F196" s="141" t="str">
        <f t="shared" si="20"/>
        <v/>
      </c>
      <c r="G196" s="156"/>
      <c r="H196" s="156"/>
      <c r="I196" s="156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dio'!#REF!,'Opći dio'!#REF!,10,FALSE))</f>
        <v/>
      </c>
      <c r="B197" s="142" t="str">
        <f>IF(E197="","",VLOOKUP('Opći dio'!#REF!,'Opći dio'!#REF!,9,FALSE))</f>
        <v/>
      </c>
      <c r="C197" s="160" t="str">
        <f t="shared" si="18"/>
        <v/>
      </c>
      <c r="D197" s="140" t="str">
        <f t="shared" si="19"/>
        <v/>
      </c>
      <c r="E197" s="152"/>
      <c r="F197" s="141" t="str">
        <f t="shared" si="20"/>
        <v/>
      </c>
      <c r="G197" s="156"/>
      <c r="H197" s="156"/>
      <c r="I197" s="156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dio'!#REF!,'Opći dio'!#REF!,10,FALSE))</f>
        <v/>
      </c>
      <c r="B198" s="142" t="str">
        <f>IF(E198="","",VLOOKUP('Opći dio'!#REF!,'Opći dio'!#REF!,9,FALSE))</f>
        <v/>
      </c>
      <c r="C198" s="160" t="str">
        <f t="shared" si="18"/>
        <v/>
      </c>
      <c r="D198" s="140" t="str">
        <f t="shared" si="19"/>
        <v/>
      </c>
      <c r="E198" s="152"/>
      <c r="F198" s="141" t="str">
        <f t="shared" si="20"/>
        <v/>
      </c>
      <c r="G198" s="156"/>
      <c r="H198" s="156"/>
      <c r="I198" s="156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dio'!#REF!,'Opći dio'!#REF!,10,FALSE))</f>
        <v/>
      </c>
      <c r="B199" s="142" t="str">
        <f>IF(E199="","",VLOOKUP('Opći dio'!#REF!,'Opći dio'!#REF!,9,FALSE))</f>
        <v/>
      </c>
      <c r="C199" s="160" t="str">
        <f t="shared" si="18"/>
        <v/>
      </c>
      <c r="D199" s="140" t="str">
        <f t="shared" si="19"/>
        <v/>
      </c>
      <c r="E199" s="152"/>
      <c r="F199" s="141" t="str">
        <f t="shared" si="20"/>
        <v/>
      </c>
      <c r="G199" s="156"/>
      <c r="H199" s="156"/>
      <c r="I199" s="156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dio'!#REF!,'Opći dio'!#REF!,10,FALSE))</f>
        <v/>
      </c>
      <c r="B200" s="142" t="str">
        <f>IF(E200="","",VLOOKUP('Opći dio'!#REF!,'Opći dio'!#REF!,9,FALSE))</f>
        <v/>
      </c>
      <c r="C200" s="160" t="str">
        <f t="shared" si="18"/>
        <v/>
      </c>
      <c r="D200" s="140" t="str">
        <f t="shared" si="19"/>
        <v/>
      </c>
      <c r="E200" s="152"/>
      <c r="F200" s="141" t="str">
        <f t="shared" si="20"/>
        <v/>
      </c>
      <c r="G200" s="156"/>
      <c r="H200" s="156"/>
      <c r="I200" s="156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dio'!#REF!,'Opći dio'!#REF!,10,FALSE))</f>
        <v/>
      </c>
      <c r="B201" s="142" t="str">
        <f>IF(E201="","",VLOOKUP('Opći dio'!#REF!,'Opći dio'!#REF!,9,FALSE))</f>
        <v/>
      </c>
      <c r="C201" s="160" t="str">
        <f t="shared" si="18"/>
        <v/>
      </c>
      <c r="D201" s="140" t="str">
        <f t="shared" si="19"/>
        <v/>
      </c>
      <c r="E201" s="152"/>
      <c r="F201" s="141" t="str">
        <f t="shared" si="20"/>
        <v/>
      </c>
      <c r="G201" s="156"/>
      <c r="H201" s="156"/>
      <c r="I201" s="156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dio'!#REF!,'Opći dio'!#REF!,10,FALSE))</f>
        <v/>
      </c>
      <c r="B202" s="142" t="str">
        <f>IF(E202="","",VLOOKUP('Opći dio'!#REF!,'Opći dio'!#REF!,9,FALSE))</f>
        <v/>
      </c>
      <c r="C202" s="160" t="str">
        <f t="shared" si="18"/>
        <v/>
      </c>
      <c r="D202" s="140" t="str">
        <f t="shared" si="19"/>
        <v/>
      </c>
      <c r="E202" s="152"/>
      <c r="F202" s="141" t="str">
        <f t="shared" si="20"/>
        <v/>
      </c>
      <c r="G202" s="156"/>
      <c r="H202" s="156"/>
      <c r="I202" s="156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dio'!#REF!,'Opći dio'!#REF!,10,FALSE))</f>
        <v/>
      </c>
      <c r="B203" s="142" t="str">
        <f>IF(E203="","",VLOOKUP('Opći dio'!#REF!,'Opći dio'!#REF!,9,FALSE))</f>
        <v/>
      </c>
      <c r="C203" s="160" t="str">
        <f t="shared" si="18"/>
        <v/>
      </c>
      <c r="D203" s="140" t="str">
        <f t="shared" si="19"/>
        <v/>
      </c>
      <c r="E203" s="152"/>
      <c r="F203" s="141" t="str">
        <f t="shared" si="20"/>
        <v/>
      </c>
      <c r="G203" s="156"/>
      <c r="H203" s="156"/>
      <c r="I203" s="156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dio'!#REF!,'Opći dio'!#REF!,10,FALSE))</f>
        <v/>
      </c>
      <c r="B204" s="142" t="str">
        <f>IF(E204="","",VLOOKUP('Opći dio'!#REF!,'Opći dio'!#REF!,9,FALSE))</f>
        <v/>
      </c>
      <c r="C204" s="160" t="str">
        <f t="shared" si="18"/>
        <v/>
      </c>
      <c r="D204" s="140" t="str">
        <f t="shared" si="19"/>
        <v/>
      </c>
      <c r="E204" s="152"/>
      <c r="F204" s="141" t="str">
        <f t="shared" si="20"/>
        <v/>
      </c>
      <c r="G204" s="156"/>
      <c r="H204" s="156"/>
      <c r="I204" s="156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dio'!#REF!,'Opći dio'!#REF!,10,FALSE))</f>
        <v/>
      </c>
      <c r="B205" s="142" t="str">
        <f>IF(E205="","",VLOOKUP('Opći dio'!#REF!,'Opći dio'!#REF!,9,FALSE))</f>
        <v/>
      </c>
      <c r="C205" s="160" t="str">
        <f t="shared" si="18"/>
        <v/>
      </c>
      <c r="D205" s="140" t="str">
        <f t="shared" si="19"/>
        <v/>
      </c>
      <c r="E205" s="152"/>
      <c r="F205" s="141" t="str">
        <f t="shared" si="20"/>
        <v/>
      </c>
      <c r="G205" s="156"/>
      <c r="H205" s="156"/>
      <c r="I205" s="156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dio'!#REF!,'Opći dio'!#REF!,10,FALSE))</f>
        <v/>
      </c>
      <c r="B206" s="142" t="str">
        <f>IF(E206="","",VLOOKUP('Opći dio'!#REF!,'Opći dio'!#REF!,9,FALSE))</f>
        <v/>
      </c>
      <c r="C206" s="160" t="str">
        <f t="shared" si="18"/>
        <v/>
      </c>
      <c r="D206" s="140" t="str">
        <f t="shared" si="19"/>
        <v/>
      </c>
      <c r="E206" s="152"/>
      <c r="F206" s="141" t="str">
        <f t="shared" si="20"/>
        <v/>
      </c>
      <c r="G206" s="156"/>
      <c r="H206" s="156"/>
      <c r="I206" s="156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dio'!#REF!,'Opći dio'!#REF!,10,FALSE))</f>
        <v/>
      </c>
      <c r="B207" s="142" t="str">
        <f>IF(E207="","",VLOOKUP('Opći dio'!#REF!,'Opći dio'!#REF!,9,FALSE))</f>
        <v/>
      </c>
      <c r="C207" s="160" t="str">
        <f t="shared" si="18"/>
        <v/>
      </c>
      <c r="D207" s="140" t="str">
        <f t="shared" si="19"/>
        <v/>
      </c>
      <c r="E207" s="152"/>
      <c r="F207" s="141" t="str">
        <f t="shared" si="20"/>
        <v/>
      </c>
      <c r="G207" s="156"/>
      <c r="H207" s="156"/>
      <c r="I207" s="156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dio'!#REF!,'Opći dio'!#REF!,10,FALSE))</f>
        <v/>
      </c>
      <c r="B208" s="142" t="str">
        <f>IF(E208="","",VLOOKUP('Opći dio'!#REF!,'Opći dio'!#REF!,9,FALSE))</f>
        <v/>
      </c>
      <c r="C208" s="160" t="str">
        <f t="shared" si="18"/>
        <v/>
      </c>
      <c r="D208" s="140" t="str">
        <f t="shared" si="19"/>
        <v/>
      </c>
      <c r="E208" s="152"/>
      <c r="F208" s="141" t="str">
        <f t="shared" si="20"/>
        <v/>
      </c>
      <c r="G208" s="156"/>
      <c r="H208" s="156"/>
      <c r="I208" s="156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dio'!#REF!,'Opći dio'!#REF!,10,FALSE))</f>
        <v/>
      </c>
      <c r="B209" s="142" t="str">
        <f>IF(E209="","",VLOOKUP('Opći dio'!#REF!,'Opći dio'!#REF!,9,FALSE))</f>
        <v/>
      </c>
      <c r="C209" s="160" t="str">
        <f t="shared" si="18"/>
        <v/>
      </c>
      <c r="D209" s="140" t="str">
        <f t="shared" si="19"/>
        <v/>
      </c>
      <c r="E209" s="152"/>
      <c r="F209" s="141" t="str">
        <f t="shared" si="20"/>
        <v/>
      </c>
      <c r="G209" s="156"/>
      <c r="H209" s="156"/>
      <c r="I209" s="156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dio'!#REF!,'Opći dio'!#REF!,10,FALSE))</f>
        <v/>
      </c>
      <c r="B210" s="142" t="str">
        <f>IF(E210="","",VLOOKUP('Opći dio'!#REF!,'Opći dio'!#REF!,9,FALSE))</f>
        <v/>
      </c>
      <c r="C210" s="160" t="str">
        <f t="shared" si="18"/>
        <v/>
      </c>
      <c r="D210" s="140" t="str">
        <f t="shared" si="19"/>
        <v/>
      </c>
      <c r="E210" s="152"/>
      <c r="F210" s="141" t="str">
        <f t="shared" si="20"/>
        <v/>
      </c>
      <c r="G210" s="156"/>
      <c r="H210" s="156"/>
      <c r="I210" s="156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dio'!#REF!,'Opći dio'!#REF!,10,FALSE))</f>
        <v/>
      </c>
      <c r="B211" s="142" t="str">
        <f>IF(E211="","",VLOOKUP('Opći dio'!#REF!,'Opći dio'!#REF!,9,FALSE))</f>
        <v/>
      </c>
      <c r="C211" s="160" t="str">
        <f t="shared" si="18"/>
        <v/>
      </c>
      <c r="D211" s="140" t="str">
        <f t="shared" si="19"/>
        <v/>
      </c>
      <c r="E211" s="152"/>
      <c r="F211" s="141" t="str">
        <f t="shared" si="20"/>
        <v/>
      </c>
      <c r="G211" s="156"/>
      <c r="H211" s="156"/>
      <c r="I211" s="156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dio'!#REF!,'Opći dio'!#REF!,10,FALSE))</f>
        <v/>
      </c>
      <c r="B212" s="142" t="str">
        <f>IF(E212="","",VLOOKUP('Opći dio'!#REF!,'Opći dio'!#REF!,9,FALSE))</f>
        <v/>
      </c>
      <c r="C212" s="160" t="str">
        <f t="shared" si="18"/>
        <v/>
      </c>
      <c r="D212" s="140" t="str">
        <f t="shared" si="19"/>
        <v/>
      </c>
      <c r="E212" s="152"/>
      <c r="F212" s="141" t="str">
        <f t="shared" si="20"/>
        <v/>
      </c>
      <c r="G212" s="156"/>
      <c r="H212" s="156"/>
      <c r="I212" s="156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dio'!#REF!,'Opći dio'!#REF!,10,FALSE))</f>
        <v/>
      </c>
      <c r="B213" s="142" t="str">
        <f>IF(E213="","",VLOOKUP('Opći dio'!#REF!,'Opći dio'!#REF!,9,FALSE))</f>
        <v/>
      </c>
      <c r="C213" s="160" t="str">
        <f t="shared" si="18"/>
        <v/>
      </c>
      <c r="D213" s="140" t="str">
        <f t="shared" si="19"/>
        <v/>
      </c>
      <c r="E213" s="152"/>
      <c r="F213" s="141" t="str">
        <f t="shared" si="20"/>
        <v/>
      </c>
      <c r="G213" s="156"/>
      <c r="H213" s="156"/>
      <c r="I213" s="156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dio'!#REF!,'Opći dio'!#REF!,10,FALSE))</f>
        <v/>
      </c>
      <c r="B214" s="142" t="str">
        <f>IF(E214="","",VLOOKUP('Opći dio'!#REF!,'Opći dio'!#REF!,9,FALSE))</f>
        <v/>
      </c>
      <c r="C214" s="160" t="str">
        <f t="shared" si="18"/>
        <v/>
      </c>
      <c r="D214" s="140" t="str">
        <f t="shared" si="19"/>
        <v/>
      </c>
      <c r="E214" s="152"/>
      <c r="F214" s="141" t="str">
        <f t="shared" si="20"/>
        <v/>
      </c>
      <c r="G214" s="156"/>
      <c r="H214" s="156"/>
      <c r="I214" s="156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dio'!#REF!,'Opći dio'!#REF!,10,FALSE))</f>
        <v/>
      </c>
      <c r="B215" s="142" t="str">
        <f>IF(E215="","",VLOOKUP('Opći dio'!#REF!,'Opći dio'!#REF!,9,FALSE))</f>
        <v/>
      </c>
      <c r="C215" s="160" t="str">
        <f t="shared" si="18"/>
        <v/>
      </c>
      <c r="D215" s="140" t="str">
        <f t="shared" si="19"/>
        <v/>
      </c>
      <c r="E215" s="152"/>
      <c r="F215" s="141" t="str">
        <f t="shared" si="20"/>
        <v/>
      </c>
      <c r="G215" s="156"/>
      <c r="H215" s="156"/>
      <c r="I215" s="156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dio'!#REF!,'Opći dio'!#REF!,10,FALSE))</f>
        <v/>
      </c>
      <c r="B216" s="142" t="str">
        <f>IF(E216="","",VLOOKUP('Opći dio'!#REF!,'Opći dio'!#REF!,9,FALSE))</f>
        <v/>
      </c>
      <c r="C216" s="160" t="str">
        <f t="shared" si="18"/>
        <v/>
      </c>
      <c r="D216" s="140" t="str">
        <f t="shared" si="19"/>
        <v/>
      </c>
      <c r="E216" s="152"/>
      <c r="F216" s="141" t="str">
        <f t="shared" si="20"/>
        <v/>
      </c>
      <c r="G216" s="156"/>
      <c r="H216" s="156"/>
      <c r="I216" s="156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dio'!#REF!,'Opći dio'!#REF!,10,FALSE))</f>
        <v/>
      </c>
      <c r="B217" s="142" t="str">
        <f>IF(E217="","",VLOOKUP('Opći dio'!#REF!,'Opći dio'!#REF!,9,FALSE))</f>
        <v/>
      </c>
      <c r="C217" s="160" t="str">
        <f t="shared" si="18"/>
        <v/>
      </c>
      <c r="D217" s="140" t="str">
        <f t="shared" si="19"/>
        <v/>
      </c>
      <c r="E217" s="152"/>
      <c r="F217" s="141" t="str">
        <f t="shared" si="20"/>
        <v/>
      </c>
      <c r="G217" s="156"/>
      <c r="H217" s="156"/>
      <c r="I217" s="156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dio'!#REF!,'Opći dio'!#REF!,10,FALSE))</f>
        <v/>
      </c>
      <c r="B218" s="142" t="str">
        <f>IF(E218="","",VLOOKUP('Opći dio'!#REF!,'Opći dio'!#REF!,9,FALSE))</f>
        <v/>
      </c>
      <c r="C218" s="160" t="str">
        <f t="shared" si="18"/>
        <v/>
      </c>
      <c r="D218" s="140" t="str">
        <f t="shared" si="19"/>
        <v/>
      </c>
      <c r="E218" s="152"/>
      <c r="F218" s="141" t="str">
        <f t="shared" si="20"/>
        <v/>
      </c>
      <c r="G218" s="156"/>
      <c r="H218" s="156"/>
      <c r="I218" s="156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dio'!#REF!,'Opći dio'!#REF!,10,FALSE))</f>
        <v/>
      </c>
      <c r="B219" s="142" t="str">
        <f>IF(E219="","",VLOOKUP('Opći dio'!#REF!,'Opći dio'!#REF!,9,FALSE))</f>
        <v/>
      </c>
      <c r="C219" s="160" t="str">
        <f t="shared" si="18"/>
        <v/>
      </c>
      <c r="D219" s="140" t="str">
        <f t="shared" si="19"/>
        <v/>
      </c>
      <c r="E219" s="152"/>
      <c r="F219" s="141" t="str">
        <f t="shared" si="20"/>
        <v/>
      </c>
      <c r="G219" s="156"/>
      <c r="H219" s="156"/>
      <c r="I219" s="156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dio'!#REF!,'Opći dio'!#REF!,10,FALSE))</f>
        <v/>
      </c>
      <c r="B220" s="142" t="str">
        <f>IF(E220="","",VLOOKUP('Opći dio'!#REF!,'Opći dio'!#REF!,9,FALSE))</f>
        <v/>
      </c>
      <c r="C220" s="160" t="str">
        <f t="shared" si="18"/>
        <v/>
      </c>
      <c r="D220" s="140" t="str">
        <f t="shared" si="19"/>
        <v/>
      </c>
      <c r="E220" s="152"/>
      <c r="F220" s="141" t="str">
        <f t="shared" si="20"/>
        <v/>
      </c>
      <c r="G220" s="156"/>
      <c r="H220" s="156"/>
      <c r="I220" s="156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dio'!#REF!,'Opći dio'!#REF!,10,FALSE))</f>
        <v/>
      </c>
      <c r="B221" s="142" t="str">
        <f>IF(E221="","",VLOOKUP('Opći dio'!#REF!,'Opći dio'!#REF!,9,FALSE))</f>
        <v/>
      </c>
      <c r="C221" s="160" t="str">
        <f t="shared" si="18"/>
        <v/>
      </c>
      <c r="D221" s="140" t="str">
        <f t="shared" si="19"/>
        <v/>
      </c>
      <c r="E221" s="152"/>
      <c r="F221" s="141" t="str">
        <f t="shared" si="20"/>
        <v/>
      </c>
      <c r="G221" s="156"/>
      <c r="H221" s="156"/>
      <c r="I221" s="156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dio'!#REF!,'Opći dio'!#REF!,10,FALSE))</f>
        <v/>
      </c>
      <c r="B222" s="142" t="str">
        <f>IF(E222="","",VLOOKUP('Opći dio'!#REF!,'Opći dio'!#REF!,9,FALSE))</f>
        <v/>
      </c>
      <c r="C222" s="160" t="str">
        <f t="shared" si="18"/>
        <v/>
      </c>
      <c r="D222" s="140" t="str">
        <f t="shared" si="19"/>
        <v/>
      </c>
      <c r="E222" s="152"/>
      <c r="F222" s="141" t="str">
        <f t="shared" si="20"/>
        <v/>
      </c>
      <c r="G222" s="156"/>
      <c r="H222" s="156"/>
      <c r="I222" s="156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dio'!#REF!,'Opći dio'!#REF!,10,FALSE))</f>
        <v/>
      </c>
      <c r="B223" s="142" t="str">
        <f>IF(E223="","",VLOOKUP('Opći dio'!#REF!,'Opći dio'!#REF!,9,FALSE))</f>
        <v/>
      </c>
      <c r="C223" s="160" t="str">
        <f t="shared" si="18"/>
        <v/>
      </c>
      <c r="D223" s="140" t="str">
        <f t="shared" si="19"/>
        <v/>
      </c>
      <c r="E223" s="152"/>
      <c r="F223" s="141" t="str">
        <f t="shared" si="20"/>
        <v/>
      </c>
      <c r="G223" s="156"/>
      <c r="H223" s="156"/>
      <c r="I223" s="156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dio'!#REF!,'Opći dio'!#REF!,10,FALSE))</f>
        <v/>
      </c>
      <c r="B224" s="142" t="str">
        <f>IF(E224="","",VLOOKUP('Opći dio'!#REF!,'Opći dio'!#REF!,9,FALSE))</f>
        <v/>
      </c>
      <c r="C224" s="160" t="str">
        <f t="shared" si="18"/>
        <v/>
      </c>
      <c r="D224" s="140" t="str">
        <f t="shared" si="19"/>
        <v/>
      </c>
      <c r="E224" s="152"/>
      <c r="F224" s="141" t="str">
        <f t="shared" si="20"/>
        <v/>
      </c>
      <c r="G224" s="156"/>
      <c r="H224" s="156"/>
      <c r="I224" s="156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dio'!#REF!,'Opći dio'!#REF!,10,FALSE))</f>
        <v/>
      </c>
      <c r="B225" s="142" t="str">
        <f>IF(E225="","",VLOOKUP('Opći dio'!#REF!,'Opći dio'!#REF!,9,FALSE))</f>
        <v/>
      </c>
      <c r="C225" s="160" t="str">
        <f t="shared" si="18"/>
        <v/>
      </c>
      <c r="D225" s="140" t="str">
        <f t="shared" si="19"/>
        <v/>
      </c>
      <c r="E225" s="152"/>
      <c r="F225" s="141" t="str">
        <f t="shared" si="20"/>
        <v/>
      </c>
      <c r="G225" s="156"/>
      <c r="H225" s="156"/>
      <c r="I225" s="156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dio'!#REF!,'Opći dio'!#REF!,10,FALSE))</f>
        <v/>
      </c>
      <c r="B226" s="142" t="str">
        <f>IF(E226="","",VLOOKUP('Opći dio'!#REF!,'Opći dio'!#REF!,9,FALSE))</f>
        <v/>
      </c>
      <c r="C226" s="160" t="str">
        <f t="shared" si="18"/>
        <v/>
      </c>
      <c r="D226" s="140" t="str">
        <f t="shared" si="19"/>
        <v/>
      </c>
      <c r="E226" s="152"/>
      <c r="F226" s="141" t="str">
        <f t="shared" si="20"/>
        <v/>
      </c>
      <c r="G226" s="156"/>
      <c r="H226" s="156"/>
      <c r="I226" s="156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dio'!#REF!,'Opći dio'!#REF!,10,FALSE))</f>
        <v/>
      </c>
      <c r="B227" s="142" t="str">
        <f>IF(E227="","",VLOOKUP('Opći dio'!#REF!,'Opći dio'!#REF!,9,FALSE))</f>
        <v/>
      </c>
      <c r="C227" s="160" t="str">
        <f t="shared" si="18"/>
        <v/>
      </c>
      <c r="D227" s="140" t="str">
        <f t="shared" si="19"/>
        <v/>
      </c>
      <c r="E227" s="152"/>
      <c r="F227" s="141" t="str">
        <f t="shared" si="20"/>
        <v/>
      </c>
      <c r="G227" s="156"/>
      <c r="H227" s="156"/>
      <c r="I227" s="156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dio'!#REF!,'Opći dio'!#REF!,10,FALSE))</f>
        <v/>
      </c>
      <c r="B228" s="142" t="str">
        <f>IF(E228="","",VLOOKUP('Opći dio'!#REF!,'Opći dio'!#REF!,9,FALSE))</f>
        <v/>
      </c>
      <c r="C228" s="160" t="str">
        <f t="shared" si="18"/>
        <v/>
      </c>
      <c r="D228" s="140" t="str">
        <f t="shared" si="19"/>
        <v/>
      </c>
      <c r="E228" s="152"/>
      <c r="F228" s="141" t="str">
        <f t="shared" si="20"/>
        <v/>
      </c>
      <c r="G228" s="156"/>
      <c r="H228" s="156"/>
      <c r="I228" s="156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dio'!#REF!,'Opći dio'!#REF!,10,FALSE))</f>
        <v/>
      </c>
      <c r="B229" s="142" t="str">
        <f>IF(E229="","",VLOOKUP('Opći dio'!#REF!,'Opći dio'!#REF!,9,FALSE))</f>
        <v/>
      </c>
      <c r="C229" s="160" t="str">
        <f t="shared" si="18"/>
        <v/>
      </c>
      <c r="D229" s="140" t="str">
        <f t="shared" si="19"/>
        <v/>
      </c>
      <c r="E229" s="152"/>
      <c r="F229" s="141" t="str">
        <f t="shared" si="20"/>
        <v/>
      </c>
      <c r="G229" s="156"/>
      <c r="H229" s="156"/>
      <c r="I229" s="156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dio'!#REF!,'Opći dio'!#REF!,10,FALSE))</f>
        <v/>
      </c>
      <c r="B230" s="142" t="str">
        <f>IF(E230="","",VLOOKUP('Opći dio'!#REF!,'Opći dio'!#REF!,9,FALSE))</f>
        <v/>
      </c>
      <c r="C230" s="160" t="str">
        <f t="shared" si="18"/>
        <v/>
      </c>
      <c r="D230" s="140" t="str">
        <f t="shared" si="19"/>
        <v/>
      </c>
      <c r="E230" s="152"/>
      <c r="F230" s="141" t="str">
        <f t="shared" si="20"/>
        <v/>
      </c>
      <c r="G230" s="156"/>
      <c r="H230" s="156"/>
      <c r="I230" s="156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dio'!#REF!,'Opći dio'!#REF!,10,FALSE))</f>
        <v/>
      </c>
      <c r="B231" s="142" t="str">
        <f>IF(E231="","",VLOOKUP('Opći dio'!#REF!,'Opći dio'!#REF!,9,FALSE))</f>
        <v/>
      </c>
      <c r="C231" s="160" t="str">
        <f t="shared" si="18"/>
        <v/>
      </c>
      <c r="D231" s="140" t="str">
        <f t="shared" si="19"/>
        <v/>
      </c>
      <c r="E231" s="152"/>
      <c r="F231" s="141" t="str">
        <f t="shared" si="20"/>
        <v/>
      </c>
      <c r="G231" s="156"/>
      <c r="H231" s="156"/>
      <c r="I231" s="156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dio'!#REF!,'Opći dio'!#REF!,10,FALSE))</f>
        <v/>
      </c>
      <c r="B232" s="142" t="str">
        <f>IF(E232="","",VLOOKUP('Opći dio'!#REF!,'Opći dio'!#REF!,9,FALSE))</f>
        <v/>
      </c>
      <c r="C232" s="160" t="str">
        <f t="shared" si="18"/>
        <v/>
      </c>
      <c r="D232" s="140" t="str">
        <f t="shared" si="19"/>
        <v/>
      </c>
      <c r="E232" s="152"/>
      <c r="F232" s="141" t="str">
        <f t="shared" si="20"/>
        <v/>
      </c>
      <c r="G232" s="156"/>
      <c r="H232" s="156"/>
      <c r="I232" s="156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dio'!#REF!,'Opći dio'!#REF!,10,FALSE))</f>
        <v/>
      </c>
      <c r="B233" s="142" t="str">
        <f>IF(E233="","",VLOOKUP('Opći dio'!#REF!,'Opći dio'!#REF!,9,FALSE))</f>
        <v/>
      </c>
      <c r="C233" s="160" t="str">
        <f t="shared" si="18"/>
        <v/>
      </c>
      <c r="D233" s="140" t="str">
        <f t="shared" si="19"/>
        <v/>
      </c>
      <c r="E233" s="152"/>
      <c r="F233" s="141" t="str">
        <f t="shared" si="20"/>
        <v/>
      </c>
      <c r="G233" s="156"/>
      <c r="H233" s="156"/>
      <c r="I233" s="156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dio'!#REF!,'Opći dio'!#REF!,10,FALSE))</f>
        <v/>
      </c>
      <c r="B234" s="142" t="str">
        <f>IF(E234="","",VLOOKUP('Opći dio'!#REF!,'Opći dio'!#REF!,9,FALSE))</f>
        <v/>
      </c>
      <c r="C234" s="160" t="str">
        <f t="shared" si="18"/>
        <v/>
      </c>
      <c r="D234" s="140" t="str">
        <f t="shared" si="19"/>
        <v/>
      </c>
      <c r="E234" s="152"/>
      <c r="F234" s="141" t="str">
        <f t="shared" si="20"/>
        <v/>
      </c>
      <c r="G234" s="156"/>
      <c r="H234" s="156"/>
      <c r="I234" s="156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dio'!#REF!,'Opći dio'!#REF!,10,FALSE))</f>
        <v/>
      </c>
      <c r="B235" s="142" t="str">
        <f>IF(E235="","",VLOOKUP('Opći dio'!#REF!,'Opći dio'!#REF!,9,FALSE))</f>
        <v/>
      </c>
      <c r="C235" s="160" t="str">
        <f t="shared" si="18"/>
        <v/>
      </c>
      <c r="D235" s="140" t="str">
        <f t="shared" si="19"/>
        <v/>
      </c>
      <c r="E235" s="152"/>
      <c r="F235" s="141" t="str">
        <f t="shared" si="20"/>
        <v/>
      </c>
      <c r="G235" s="156"/>
      <c r="H235" s="156"/>
      <c r="I235" s="156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dio'!#REF!,'Opći dio'!#REF!,10,FALSE))</f>
        <v/>
      </c>
      <c r="B236" s="142" t="str">
        <f>IF(E236="","",VLOOKUP('Opći dio'!#REF!,'Opći dio'!#REF!,9,FALSE))</f>
        <v/>
      </c>
      <c r="C236" s="160" t="str">
        <f t="shared" si="18"/>
        <v/>
      </c>
      <c r="D236" s="140" t="str">
        <f t="shared" si="19"/>
        <v/>
      </c>
      <c r="E236" s="152"/>
      <c r="F236" s="141" t="str">
        <f t="shared" si="20"/>
        <v/>
      </c>
      <c r="G236" s="156"/>
      <c r="H236" s="156"/>
      <c r="I236" s="156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dio'!#REF!,'Opći dio'!#REF!,10,FALSE))</f>
        <v/>
      </c>
      <c r="B237" s="142" t="str">
        <f>IF(E237="","",VLOOKUP('Opći dio'!#REF!,'Opći dio'!#REF!,9,FALSE))</f>
        <v/>
      </c>
      <c r="C237" s="160" t="str">
        <f t="shared" si="18"/>
        <v/>
      </c>
      <c r="D237" s="140" t="str">
        <f t="shared" si="19"/>
        <v/>
      </c>
      <c r="E237" s="152"/>
      <c r="F237" s="141" t="str">
        <f t="shared" si="20"/>
        <v/>
      </c>
      <c r="G237" s="156"/>
      <c r="H237" s="156"/>
      <c r="I237" s="156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dio'!#REF!,'Opći dio'!#REF!,10,FALSE))</f>
        <v/>
      </c>
      <c r="B238" s="142" t="str">
        <f>IF(E238="","",VLOOKUP('Opći dio'!#REF!,'Opći dio'!#REF!,9,FALSE))</f>
        <v/>
      </c>
      <c r="C238" s="160" t="str">
        <f t="shared" si="18"/>
        <v/>
      </c>
      <c r="D238" s="140" t="str">
        <f t="shared" si="19"/>
        <v/>
      </c>
      <c r="E238" s="152"/>
      <c r="F238" s="141" t="str">
        <f t="shared" si="20"/>
        <v/>
      </c>
      <c r="G238" s="156"/>
      <c r="H238" s="156"/>
      <c r="I238" s="156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dio'!#REF!,'Opći dio'!#REF!,10,FALSE))</f>
        <v/>
      </c>
      <c r="B239" s="142" t="str">
        <f>IF(E239="","",VLOOKUP('Opći dio'!#REF!,'Opći dio'!#REF!,9,FALSE))</f>
        <v/>
      </c>
      <c r="C239" s="160" t="str">
        <f t="shared" si="18"/>
        <v/>
      </c>
      <c r="D239" s="140" t="str">
        <f t="shared" si="19"/>
        <v/>
      </c>
      <c r="E239" s="152"/>
      <c r="F239" s="141" t="str">
        <f t="shared" si="20"/>
        <v/>
      </c>
      <c r="G239" s="156"/>
      <c r="H239" s="156"/>
      <c r="I239" s="156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dio'!#REF!,'Opći dio'!#REF!,10,FALSE))</f>
        <v/>
      </c>
      <c r="B240" s="142" t="str">
        <f>IF(E240="","",VLOOKUP('Opći dio'!#REF!,'Opći dio'!#REF!,9,FALSE))</f>
        <v/>
      </c>
      <c r="C240" s="160" t="str">
        <f t="shared" si="18"/>
        <v/>
      </c>
      <c r="D240" s="140" t="str">
        <f t="shared" si="19"/>
        <v/>
      </c>
      <c r="E240" s="152"/>
      <c r="F240" s="141" t="str">
        <f t="shared" si="20"/>
        <v/>
      </c>
      <c r="G240" s="156"/>
      <c r="H240" s="156"/>
      <c r="I240" s="156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dio'!#REF!,'Opći dio'!#REF!,10,FALSE))</f>
        <v/>
      </c>
      <c r="B241" s="142" t="str">
        <f>IF(E241="","",VLOOKUP('Opći dio'!#REF!,'Opći dio'!#REF!,9,FALSE))</f>
        <v/>
      </c>
      <c r="C241" s="160" t="str">
        <f t="shared" si="18"/>
        <v/>
      </c>
      <c r="D241" s="140" t="str">
        <f t="shared" si="19"/>
        <v/>
      </c>
      <c r="E241" s="152"/>
      <c r="F241" s="141" t="str">
        <f t="shared" si="20"/>
        <v/>
      </c>
      <c r="G241" s="156"/>
      <c r="H241" s="156"/>
      <c r="I241" s="156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dio'!#REF!,'Opći dio'!#REF!,10,FALSE))</f>
        <v/>
      </c>
      <c r="B242" s="142" t="str">
        <f>IF(E242="","",VLOOKUP('Opći dio'!#REF!,'Opći dio'!#REF!,9,FALSE))</f>
        <v/>
      </c>
      <c r="C242" s="160" t="str">
        <f t="shared" si="18"/>
        <v/>
      </c>
      <c r="D242" s="140" t="str">
        <f t="shared" si="19"/>
        <v/>
      </c>
      <c r="E242" s="152"/>
      <c r="F242" s="141" t="str">
        <f t="shared" si="20"/>
        <v/>
      </c>
      <c r="G242" s="156"/>
      <c r="H242" s="156"/>
      <c r="I242" s="156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dio'!#REF!,'Opći dio'!#REF!,10,FALSE))</f>
        <v/>
      </c>
      <c r="B243" s="142" t="str">
        <f>IF(E243="","",VLOOKUP('Opći dio'!#REF!,'Opći dio'!#REF!,9,FALSE))</f>
        <v/>
      </c>
      <c r="C243" s="160" t="str">
        <f t="shared" si="18"/>
        <v/>
      </c>
      <c r="D243" s="140" t="str">
        <f t="shared" si="19"/>
        <v/>
      </c>
      <c r="E243" s="152"/>
      <c r="F243" s="141" t="str">
        <f t="shared" si="20"/>
        <v/>
      </c>
      <c r="G243" s="156"/>
      <c r="H243" s="156"/>
      <c r="I243" s="156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dio'!#REF!,'Opći dio'!#REF!,10,FALSE))</f>
        <v/>
      </c>
      <c r="B244" s="142" t="str">
        <f>IF(E244="","",VLOOKUP('Opći dio'!#REF!,'Opći dio'!#REF!,9,FALSE))</f>
        <v/>
      </c>
      <c r="C244" s="160" t="str">
        <f t="shared" si="18"/>
        <v/>
      </c>
      <c r="D244" s="140" t="str">
        <f t="shared" si="19"/>
        <v/>
      </c>
      <c r="E244" s="152"/>
      <c r="F244" s="141" t="str">
        <f t="shared" si="20"/>
        <v/>
      </c>
      <c r="G244" s="156"/>
      <c r="H244" s="156"/>
      <c r="I244" s="156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dio'!#REF!,'Opći dio'!#REF!,10,FALSE))</f>
        <v/>
      </c>
      <c r="B245" s="142" t="str">
        <f>IF(E245="","",VLOOKUP('Opći dio'!#REF!,'Opći dio'!#REF!,9,FALSE))</f>
        <v/>
      </c>
      <c r="C245" s="160" t="str">
        <f t="shared" si="18"/>
        <v/>
      </c>
      <c r="D245" s="140" t="str">
        <f t="shared" si="19"/>
        <v/>
      </c>
      <c r="E245" s="152"/>
      <c r="F245" s="141" t="str">
        <f t="shared" si="20"/>
        <v/>
      </c>
      <c r="G245" s="156"/>
      <c r="H245" s="156"/>
      <c r="I245" s="156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dio'!#REF!,'Opći dio'!#REF!,10,FALSE))</f>
        <v/>
      </c>
      <c r="B246" s="142" t="str">
        <f>IF(E246="","",VLOOKUP('Opći dio'!#REF!,'Opći dio'!#REF!,9,FALSE))</f>
        <v/>
      </c>
      <c r="C246" s="160" t="str">
        <f t="shared" si="18"/>
        <v/>
      </c>
      <c r="D246" s="140" t="str">
        <f t="shared" si="19"/>
        <v/>
      </c>
      <c r="E246" s="152"/>
      <c r="F246" s="141" t="str">
        <f t="shared" si="20"/>
        <v/>
      </c>
      <c r="G246" s="156"/>
      <c r="H246" s="156"/>
      <c r="I246" s="156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dio'!#REF!,'Opći dio'!#REF!,10,FALSE))</f>
        <v/>
      </c>
      <c r="B247" s="142" t="str">
        <f>IF(E247="","",VLOOKUP('Opći dio'!#REF!,'Opći dio'!#REF!,9,FALSE))</f>
        <v/>
      </c>
      <c r="C247" s="160" t="str">
        <f t="shared" si="18"/>
        <v/>
      </c>
      <c r="D247" s="140" t="str">
        <f t="shared" si="19"/>
        <v/>
      </c>
      <c r="E247" s="152"/>
      <c r="F247" s="141" t="str">
        <f t="shared" si="20"/>
        <v/>
      </c>
      <c r="G247" s="156"/>
      <c r="H247" s="156"/>
      <c r="I247" s="156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dio'!#REF!,'Opći dio'!#REF!,10,FALSE))</f>
        <v/>
      </c>
      <c r="B248" s="142" t="str">
        <f>IF(E248="","",VLOOKUP('Opći dio'!#REF!,'Opći dio'!#REF!,9,FALSE))</f>
        <v/>
      </c>
      <c r="C248" s="160" t="str">
        <f t="shared" si="18"/>
        <v/>
      </c>
      <c r="D248" s="140" t="str">
        <f t="shared" si="19"/>
        <v/>
      </c>
      <c r="E248" s="152"/>
      <c r="F248" s="141" t="str">
        <f t="shared" si="20"/>
        <v/>
      </c>
      <c r="G248" s="156"/>
      <c r="H248" s="156"/>
      <c r="I248" s="156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dio'!#REF!,'Opći dio'!#REF!,10,FALSE))</f>
        <v/>
      </c>
      <c r="B249" s="142" t="str">
        <f>IF(E249="","",VLOOKUP('Opći dio'!#REF!,'Opći dio'!#REF!,9,FALSE))</f>
        <v/>
      </c>
      <c r="C249" s="160" t="str">
        <f t="shared" si="18"/>
        <v/>
      </c>
      <c r="D249" s="140" t="str">
        <f t="shared" si="19"/>
        <v/>
      </c>
      <c r="E249" s="152"/>
      <c r="F249" s="141" t="str">
        <f t="shared" si="20"/>
        <v/>
      </c>
      <c r="G249" s="156"/>
      <c r="H249" s="156"/>
      <c r="I249" s="156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dio'!#REF!,'Opći dio'!#REF!,10,FALSE))</f>
        <v/>
      </c>
      <c r="B250" s="142" t="str">
        <f>IF(E250="","",VLOOKUP('Opći dio'!#REF!,'Opći dio'!#REF!,9,FALSE))</f>
        <v/>
      </c>
      <c r="C250" s="160" t="str">
        <f t="shared" si="18"/>
        <v/>
      </c>
      <c r="D250" s="140" t="str">
        <f t="shared" si="19"/>
        <v/>
      </c>
      <c r="E250" s="152"/>
      <c r="F250" s="141" t="str">
        <f t="shared" si="20"/>
        <v/>
      </c>
      <c r="G250" s="156"/>
      <c r="H250" s="156"/>
      <c r="I250" s="156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dio'!#REF!,'Opći dio'!#REF!,10,FALSE))</f>
        <v/>
      </c>
      <c r="B251" s="142" t="str">
        <f>IF(E251="","",VLOOKUP('Opći dio'!#REF!,'Opći dio'!#REF!,9,FALSE))</f>
        <v/>
      </c>
      <c r="C251" s="160" t="str">
        <f t="shared" si="18"/>
        <v/>
      </c>
      <c r="D251" s="140" t="str">
        <f t="shared" si="19"/>
        <v/>
      </c>
      <c r="E251" s="152"/>
      <c r="F251" s="141" t="str">
        <f t="shared" si="20"/>
        <v/>
      </c>
      <c r="G251" s="156"/>
      <c r="H251" s="156"/>
      <c r="I251" s="156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dio'!#REF!,'Opći dio'!#REF!,10,FALSE))</f>
        <v/>
      </c>
      <c r="B252" s="142" t="str">
        <f>IF(E252="","",VLOOKUP('Opći dio'!#REF!,'Opći dio'!#REF!,9,FALSE))</f>
        <v/>
      </c>
      <c r="C252" s="160" t="str">
        <f t="shared" si="18"/>
        <v/>
      </c>
      <c r="D252" s="140" t="str">
        <f t="shared" si="19"/>
        <v/>
      </c>
      <c r="E252" s="152"/>
      <c r="F252" s="141" t="str">
        <f t="shared" si="20"/>
        <v/>
      </c>
      <c r="G252" s="156"/>
      <c r="H252" s="156"/>
      <c r="I252" s="156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dio'!#REF!,'Opći dio'!#REF!,10,FALSE))</f>
        <v/>
      </c>
      <c r="B253" s="142" t="str">
        <f>IF(E253="","",VLOOKUP('Opći dio'!#REF!,'Opći dio'!#REF!,9,FALSE))</f>
        <v/>
      </c>
      <c r="C253" s="160" t="str">
        <f t="shared" si="18"/>
        <v/>
      </c>
      <c r="D253" s="140" t="str">
        <f t="shared" si="19"/>
        <v/>
      </c>
      <c r="E253" s="152"/>
      <c r="F253" s="141" t="str">
        <f t="shared" si="20"/>
        <v/>
      </c>
      <c r="G253" s="156"/>
      <c r="H253" s="156"/>
      <c r="I253" s="156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dio'!#REF!,'Opći dio'!#REF!,10,FALSE))</f>
        <v/>
      </c>
      <c r="B254" s="142" t="str">
        <f>IF(E254="","",VLOOKUP('Opći dio'!#REF!,'Opći dio'!#REF!,9,FALSE))</f>
        <v/>
      </c>
      <c r="C254" s="160" t="str">
        <f t="shared" si="18"/>
        <v/>
      </c>
      <c r="D254" s="140" t="str">
        <f t="shared" si="19"/>
        <v/>
      </c>
      <c r="E254" s="152"/>
      <c r="F254" s="141" t="str">
        <f t="shared" si="20"/>
        <v/>
      </c>
      <c r="G254" s="156"/>
      <c r="H254" s="156"/>
      <c r="I254" s="156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dio'!#REF!,'Opći dio'!#REF!,10,FALSE))</f>
        <v/>
      </c>
      <c r="B255" s="142" t="str">
        <f>IF(E255="","",VLOOKUP('Opći dio'!#REF!,'Opći dio'!#REF!,9,FALSE))</f>
        <v/>
      </c>
      <c r="C255" s="160" t="str">
        <f t="shared" si="18"/>
        <v/>
      </c>
      <c r="D255" s="140" t="str">
        <f t="shared" si="19"/>
        <v/>
      </c>
      <c r="E255" s="152"/>
      <c r="F255" s="141" t="str">
        <f t="shared" si="20"/>
        <v/>
      </c>
      <c r="G255" s="156"/>
      <c r="H255" s="156"/>
      <c r="I255" s="156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dio'!#REF!,'Opći dio'!#REF!,10,FALSE))</f>
        <v/>
      </c>
      <c r="B256" s="142" t="str">
        <f>IF(E256="","",VLOOKUP('Opći dio'!#REF!,'Opći dio'!#REF!,9,FALSE))</f>
        <v/>
      </c>
      <c r="C256" s="160" t="str">
        <f t="shared" si="18"/>
        <v/>
      </c>
      <c r="D256" s="140" t="str">
        <f t="shared" si="19"/>
        <v/>
      </c>
      <c r="E256" s="152"/>
      <c r="F256" s="141" t="str">
        <f t="shared" si="20"/>
        <v/>
      </c>
      <c r="G256" s="156"/>
      <c r="H256" s="156"/>
      <c r="I256" s="156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dio'!#REF!,'Opći dio'!#REF!,10,FALSE))</f>
        <v/>
      </c>
      <c r="B257" s="142" t="str">
        <f>IF(E257="","",VLOOKUP('Opći dio'!#REF!,'Opći dio'!#REF!,9,FALSE))</f>
        <v/>
      </c>
      <c r="C257" s="160" t="str">
        <f t="shared" si="18"/>
        <v/>
      </c>
      <c r="D257" s="140" t="str">
        <f t="shared" si="19"/>
        <v/>
      </c>
      <c r="E257" s="152"/>
      <c r="F257" s="141" t="str">
        <f t="shared" si="20"/>
        <v/>
      </c>
      <c r="G257" s="156"/>
      <c r="H257" s="156"/>
      <c r="I257" s="156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dio'!#REF!,'Opći dio'!#REF!,10,FALSE))</f>
        <v/>
      </c>
      <c r="B258" s="142" t="str">
        <f>IF(E258="","",VLOOKUP('Opći dio'!#REF!,'Opći dio'!#REF!,9,FALSE))</f>
        <v/>
      </c>
      <c r="C258" s="160" t="str">
        <f t="shared" si="18"/>
        <v/>
      </c>
      <c r="D258" s="140" t="str">
        <f t="shared" si="19"/>
        <v/>
      </c>
      <c r="E258" s="152"/>
      <c r="F258" s="141" t="str">
        <f t="shared" si="20"/>
        <v/>
      </c>
      <c r="G258" s="156"/>
      <c r="H258" s="156"/>
      <c r="I258" s="156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dio'!#REF!,'Opći dio'!#REF!,10,FALSE))</f>
        <v/>
      </c>
      <c r="B259" s="142" t="str">
        <f>IF(E259="","",VLOOKUP('Opći dio'!#REF!,'Opći dio'!#REF!,9,FALSE))</f>
        <v/>
      </c>
      <c r="C259" s="160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2"/>
      <c r="F259" s="141" t="str">
        <f t="shared" ref="F259:F322" si="25">IFERROR(VLOOKUP(E259,$R$6:$U$73,2,FALSE),"")</f>
        <v/>
      </c>
      <c r="G259" s="156"/>
      <c r="H259" s="156"/>
      <c r="I259" s="156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dio'!#REF!,'Opći dio'!#REF!,10,FALSE))</f>
        <v/>
      </c>
      <c r="B260" s="142" t="str">
        <f>IF(E260="","",VLOOKUP('Opći dio'!#REF!,'Opći dio'!#REF!,9,FALSE))</f>
        <v/>
      </c>
      <c r="C260" s="160" t="str">
        <f t="shared" si="23"/>
        <v/>
      </c>
      <c r="D260" s="140" t="str">
        <f t="shared" si="24"/>
        <v/>
      </c>
      <c r="E260" s="152"/>
      <c r="F260" s="141" t="str">
        <f t="shared" si="25"/>
        <v/>
      </c>
      <c r="G260" s="156"/>
      <c r="H260" s="156"/>
      <c r="I260" s="156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dio'!#REF!,'Opći dio'!#REF!,10,FALSE))</f>
        <v/>
      </c>
      <c r="B261" s="142" t="str">
        <f>IF(E261="","",VLOOKUP('Opći dio'!#REF!,'Opći dio'!#REF!,9,FALSE))</f>
        <v/>
      </c>
      <c r="C261" s="160" t="str">
        <f t="shared" si="23"/>
        <v/>
      </c>
      <c r="D261" s="140" t="str">
        <f t="shared" si="24"/>
        <v/>
      </c>
      <c r="E261" s="152"/>
      <c r="F261" s="141" t="str">
        <f t="shared" si="25"/>
        <v/>
      </c>
      <c r="G261" s="156"/>
      <c r="H261" s="156"/>
      <c r="I261" s="156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dio'!#REF!,'Opći dio'!#REF!,10,FALSE))</f>
        <v/>
      </c>
      <c r="B262" s="142" t="str">
        <f>IF(E262="","",VLOOKUP('Opći dio'!#REF!,'Opći dio'!#REF!,9,FALSE))</f>
        <v/>
      </c>
      <c r="C262" s="160" t="str">
        <f t="shared" si="23"/>
        <v/>
      </c>
      <c r="D262" s="140" t="str">
        <f t="shared" si="24"/>
        <v/>
      </c>
      <c r="E262" s="152"/>
      <c r="F262" s="141" t="str">
        <f t="shared" si="25"/>
        <v/>
      </c>
      <c r="G262" s="156"/>
      <c r="H262" s="156"/>
      <c r="I262" s="156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dio'!#REF!,'Opći dio'!#REF!,10,FALSE))</f>
        <v/>
      </c>
      <c r="B263" s="142" t="str">
        <f>IF(E263="","",VLOOKUP('Opći dio'!#REF!,'Opći dio'!#REF!,9,FALSE))</f>
        <v/>
      </c>
      <c r="C263" s="160" t="str">
        <f t="shared" si="23"/>
        <v/>
      </c>
      <c r="D263" s="140" t="str">
        <f t="shared" si="24"/>
        <v/>
      </c>
      <c r="E263" s="152"/>
      <c r="F263" s="141" t="str">
        <f t="shared" si="25"/>
        <v/>
      </c>
      <c r="G263" s="156"/>
      <c r="H263" s="156"/>
      <c r="I263" s="156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dio'!#REF!,'Opći dio'!#REF!,10,FALSE))</f>
        <v/>
      </c>
      <c r="B264" s="142" t="str">
        <f>IF(E264="","",VLOOKUP('Opći dio'!#REF!,'Opći dio'!#REF!,9,FALSE))</f>
        <v/>
      </c>
      <c r="C264" s="160" t="str">
        <f t="shared" si="23"/>
        <v/>
      </c>
      <c r="D264" s="140" t="str">
        <f t="shared" si="24"/>
        <v/>
      </c>
      <c r="E264" s="152"/>
      <c r="F264" s="141" t="str">
        <f t="shared" si="25"/>
        <v/>
      </c>
      <c r="G264" s="156"/>
      <c r="H264" s="156"/>
      <c r="I264" s="156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dio'!#REF!,'Opći dio'!#REF!,10,FALSE))</f>
        <v/>
      </c>
      <c r="B265" s="142" t="str">
        <f>IF(E265="","",VLOOKUP('Opći dio'!#REF!,'Opći dio'!#REF!,9,FALSE))</f>
        <v/>
      </c>
      <c r="C265" s="160" t="str">
        <f t="shared" si="23"/>
        <v/>
      </c>
      <c r="D265" s="140" t="str">
        <f t="shared" si="24"/>
        <v/>
      </c>
      <c r="E265" s="152"/>
      <c r="F265" s="141" t="str">
        <f t="shared" si="25"/>
        <v/>
      </c>
      <c r="G265" s="156"/>
      <c r="H265" s="156"/>
      <c r="I265" s="156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dio'!#REF!,'Opći dio'!#REF!,10,FALSE))</f>
        <v/>
      </c>
      <c r="B266" s="142" t="str">
        <f>IF(E266="","",VLOOKUP('Opći dio'!#REF!,'Opći dio'!#REF!,9,FALSE))</f>
        <v/>
      </c>
      <c r="C266" s="160" t="str">
        <f t="shared" si="23"/>
        <v/>
      </c>
      <c r="D266" s="140" t="str">
        <f t="shared" si="24"/>
        <v/>
      </c>
      <c r="E266" s="152"/>
      <c r="F266" s="141" t="str">
        <f t="shared" si="25"/>
        <v/>
      </c>
      <c r="G266" s="156"/>
      <c r="H266" s="156"/>
      <c r="I266" s="156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dio'!#REF!,'Opći dio'!#REF!,10,FALSE))</f>
        <v/>
      </c>
      <c r="B267" s="142" t="str">
        <f>IF(E267="","",VLOOKUP('Opći dio'!#REF!,'Opći dio'!#REF!,9,FALSE))</f>
        <v/>
      </c>
      <c r="C267" s="160" t="str">
        <f t="shared" si="23"/>
        <v/>
      </c>
      <c r="D267" s="140" t="str">
        <f t="shared" si="24"/>
        <v/>
      </c>
      <c r="E267" s="152"/>
      <c r="F267" s="141" t="str">
        <f t="shared" si="25"/>
        <v/>
      </c>
      <c r="G267" s="156"/>
      <c r="H267" s="156"/>
      <c r="I267" s="156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dio'!#REF!,'Opći dio'!#REF!,10,FALSE))</f>
        <v/>
      </c>
      <c r="B268" s="142" t="str">
        <f>IF(E268="","",VLOOKUP('Opći dio'!#REF!,'Opći dio'!#REF!,9,FALSE))</f>
        <v/>
      </c>
      <c r="C268" s="160" t="str">
        <f t="shared" si="23"/>
        <v/>
      </c>
      <c r="D268" s="140" t="str">
        <f t="shared" si="24"/>
        <v/>
      </c>
      <c r="E268" s="152"/>
      <c r="F268" s="141" t="str">
        <f t="shared" si="25"/>
        <v/>
      </c>
      <c r="G268" s="156"/>
      <c r="H268" s="156"/>
      <c r="I268" s="156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dio'!#REF!,'Opći dio'!#REF!,10,FALSE))</f>
        <v/>
      </c>
      <c r="B269" s="142" t="str">
        <f>IF(E269="","",VLOOKUP('Opći dio'!#REF!,'Opći dio'!#REF!,9,FALSE))</f>
        <v/>
      </c>
      <c r="C269" s="160" t="str">
        <f t="shared" si="23"/>
        <v/>
      </c>
      <c r="D269" s="140" t="str">
        <f t="shared" si="24"/>
        <v/>
      </c>
      <c r="E269" s="152"/>
      <c r="F269" s="141" t="str">
        <f t="shared" si="25"/>
        <v/>
      </c>
      <c r="G269" s="156"/>
      <c r="H269" s="156"/>
      <c r="I269" s="156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dio'!#REF!,'Opći dio'!#REF!,10,FALSE))</f>
        <v/>
      </c>
      <c r="B270" s="142" t="str">
        <f>IF(E270="","",VLOOKUP('Opći dio'!#REF!,'Opći dio'!#REF!,9,FALSE))</f>
        <v/>
      </c>
      <c r="C270" s="160" t="str">
        <f t="shared" si="23"/>
        <v/>
      </c>
      <c r="D270" s="140" t="str">
        <f t="shared" si="24"/>
        <v/>
      </c>
      <c r="E270" s="152"/>
      <c r="F270" s="141" t="str">
        <f t="shared" si="25"/>
        <v/>
      </c>
      <c r="G270" s="156"/>
      <c r="H270" s="156"/>
      <c r="I270" s="156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dio'!#REF!,'Opći dio'!#REF!,10,FALSE))</f>
        <v/>
      </c>
      <c r="B271" s="142" t="str">
        <f>IF(E271="","",VLOOKUP('Opći dio'!#REF!,'Opći dio'!#REF!,9,FALSE))</f>
        <v/>
      </c>
      <c r="C271" s="160" t="str">
        <f t="shared" si="23"/>
        <v/>
      </c>
      <c r="D271" s="140" t="str">
        <f t="shared" si="24"/>
        <v/>
      </c>
      <c r="E271" s="152"/>
      <c r="F271" s="141" t="str">
        <f t="shared" si="25"/>
        <v/>
      </c>
      <c r="G271" s="156"/>
      <c r="H271" s="156"/>
      <c r="I271" s="156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dio'!#REF!,'Opći dio'!#REF!,10,FALSE))</f>
        <v/>
      </c>
      <c r="B272" s="142" t="str">
        <f>IF(E272="","",VLOOKUP('Opći dio'!#REF!,'Opći dio'!#REF!,9,FALSE))</f>
        <v/>
      </c>
      <c r="C272" s="160" t="str">
        <f t="shared" si="23"/>
        <v/>
      </c>
      <c r="D272" s="140" t="str">
        <f t="shared" si="24"/>
        <v/>
      </c>
      <c r="E272" s="152"/>
      <c r="F272" s="141" t="str">
        <f t="shared" si="25"/>
        <v/>
      </c>
      <c r="G272" s="156"/>
      <c r="H272" s="156"/>
      <c r="I272" s="156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dio'!#REF!,'Opći dio'!#REF!,10,FALSE))</f>
        <v/>
      </c>
      <c r="B273" s="142" t="str">
        <f>IF(E273="","",VLOOKUP('Opći dio'!#REF!,'Opći dio'!#REF!,9,FALSE))</f>
        <v/>
      </c>
      <c r="C273" s="160" t="str">
        <f t="shared" si="23"/>
        <v/>
      </c>
      <c r="D273" s="140" t="str">
        <f t="shared" si="24"/>
        <v/>
      </c>
      <c r="E273" s="152"/>
      <c r="F273" s="141" t="str">
        <f t="shared" si="25"/>
        <v/>
      </c>
      <c r="G273" s="156"/>
      <c r="H273" s="156"/>
      <c r="I273" s="156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dio'!#REF!,'Opći dio'!#REF!,10,FALSE))</f>
        <v/>
      </c>
      <c r="B274" s="142" t="str">
        <f>IF(E274="","",VLOOKUP('Opći dio'!#REF!,'Opći dio'!#REF!,9,FALSE))</f>
        <v/>
      </c>
      <c r="C274" s="160" t="str">
        <f t="shared" si="23"/>
        <v/>
      </c>
      <c r="D274" s="140" t="str">
        <f t="shared" si="24"/>
        <v/>
      </c>
      <c r="E274" s="152"/>
      <c r="F274" s="141" t="str">
        <f t="shared" si="25"/>
        <v/>
      </c>
      <c r="G274" s="156"/>
      <c r="H274" s="156"/>
      <c r="I274" s="156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dio'!#REF!,'Opći dio'!#REF!,10,FALSE))</f>
        <v/>
      </c>
      <c r="B275" s="142" t="str">
        <f>IF(E275="","",VLOOKUP('Opći dio'!#REF!,'Opći dio'!#REF!,9,FALSE))</f>
        <v/>
      </c>
      <c r="C275" s="160" t="str">
        <f t="shared" si="23"/>
        <v/>
      </c>
      <c r="D275" s="140" t="str">
        <f t="shared" si="24"/>
        <v/>
      </c>
      <c r="E275" s="152"/>
      <c r="F275" s="141" t="str">
        <f t="shared" si="25"/>
        <v/>
      </c>
      <c r="G275" s="156"/>
      <c r="H275" s="156"/>
      <c r="I275" s="156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dio'!#REF!,'Opći dio'!#REF!,10,FALSE))</f>
        <v/>
      </c>
      <c r="B276" s="142" t="str">
        <f>IF(E276="","",VLOOKUP('Opći dio'!#REF!,'Opći dio'!#REF!,9,FALSE))</f>
        <v/>
      </c>
      <c r="C276" s="160" t="str">
        <f t="shared" si="23"/>
        <v/>
      </c>
      <c r="D276" s="140" t="str">
        <f t="shared" si="24"/>
        <v/>
      </c>
      <c r="E276" s="152"/>
      <c r="F276" s="141" t="str">
        <f t="shared" si="25"/>
        <v/>
      </c>
      <c r="G276" s="156"/>
      <c r="H276" s="156"/>
      <c r="I276" s="156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dio'!#REF!,'Opći dio'!#REF!,10,FALSE))</f>
        <v/>
      </c>
      <c r="B277" s="142" t="str">
        <f>IF(E277="","",VLOOKUP('Opći dio'!#REF!,'Opći dio'!#REF!,9,FALSE))</f>
        <v/>
      </c>
      <c r="C277" s="160" t="str">
        <f t="shared" si="23"/>
        <v/>
      </c>
      <c r="D277" s="140" t="str">
        <f t="shared" si="24"/>
        <v/>
      </c>
      <c r="E277" s="152"/>
      <c r="F277" s="141" t="str">
        <f t="shared" si="25"/>
        <v/>
      </c>
      <c r="G277" s="156"/>
      <c r="H277" s="156"/>
      <c r="I277" s="156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dio'!#REF!,'Opći dio'!#REF!,10,FALSE))</f>
        <v/>
      </c>
      <c r="B278" s="142" t="str">
        <f>IF(E278="","",VLOOKUP('Opći dio'!#REF!,'Opći dio'!#REF!,9,FALSE))</f>
        <v/>
      </c>
      <c r="C278" s="160" t="str">
        <f t="shared" si="23"/>
        <v/>
      </c>
      <c r="D278" s="140" t="str">
        <f t="shared" si="24"/>
        <v/>
      </c>
      <c r="E278" s="152"/>
      <c r="F278" s="141" t="str">
        <f t="shared" si="25"/>
        <v/>
      </c>
      <c r="G278" s="156"/>
      <c r="H278" s="156"/>
      <c r="I278" s="156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dio'!#REF!,'Opći dio'!#REF!,10,FALSE))</f>
        <v/>
      </c>
      <c r="B279" s="142" t="str">
        <f>IF(E279="","",VLOOKUP('Opći dio'!#REF!,'Opći dio'!#REF!,9,FALSE))</f>
        <v/>
      </c>
      <c r="C279" s="160" t="str">
        <f t="shared" si="23"/>
        <v/>
      </c>
      <c r="D279" s="140" t="str">
        <f t="shared" si="24"/>
        <v/>
      </c>
      <c r="E279" s="152"/>
      <c r="F279" s="141" t="str">
        <f t="shared" si="25"/>
        <v/>
      </c>
      <c r="G279" s="156"/>
      <c r="H279" s="156"/>
      <c r="I279" s="156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dio'!#REF!,'Opći dio'!#REF!,10,FALSE))</f>
        <v/>
      </c>
      <c r="B280" s="142" t="str">
        <f>IF(E280="","",VLOOKUP('Opći dio'!#REF!,'Opći dio'!#REF!,9,FALSE))</f>
        <v/>
      </c>
      <c r="C280" s="160" t="str">
        <f t="shared" si="23"/>
        <v/>
      </c>
      <c r="D280" s="140" t="str">
        <f t="shared" si="24"/>
        <v/>
      </c>
      <c r="E280" s="152"/>
      <c r="F280" s="141" t="str">
        <f t="shared" si="25"/>
        <v/>
      </c>
      <c r="G280" s="156"/>
      <c r="H280" s="156"/>
      <c r="I280" s="156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dio'!#REF!,'Opći dio'!#REF!,10,FALSE))</f>
        <v/>
      </c>
      <c r="B281" s="142" t="str">
        <f>IF(E281="","",VLOOKUP('Opći dio'!#REF!,'Opći dio'!#REF!,9,FALSE))</f>
        <v/>
      </c>
      <c r="C281" s="160" t="str">
        <f t="shared" si="23"/>
        <v/>
      </c>
      <c r="D281" s="140" t="str">
        <f t="shared" si="24"/>
        <v/>
      </c>
      <c r="E281" s="152"/>
      <c r="F281" s="141" t="str">
        <f t="shared" si="25"/>
        <v/>
      </c>
      <c r="G281" s="156"/>
      <c r="H281" s="156"/>
      <c r="I281" s="156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dio'!#REF!,'Opći dio'!#REF!,10,FALSE))</f>
        <v/>
      </c>
      <c r="B282" s="142" t="str">
        <f>IF(E282="","",VLOOKUP('Opći dio'!#REF!,'Opći dio'!#REF!,9,FALSE))</f>
        <v/>
      </c>
      <c r="C282" s="160" t="str">
        <f t="shared" si="23"/>
        <v/>
      </c>
      <c r="D282" s="140" t="str">
        <f t="shared" si="24"/>
        <v/>
      </c>
      <c r="E282" s="152"/>
      <c r="F282" s="141" t="str">
        <f t="shared" si="25"/>
        <v/>
      </c>
      <c r="G282" s="156"/>
      <c r="H282" s="156"/>
      <c r="I282" s="156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dio'!#REF!,'Opći dio'!#REF!,10,FALSE))</f>
        <v/>
      </c>
      <c r="B283" s="142" t="str">
        <f>IF(E283="","",VLOOKUP('Opći dio'!#REF!,'Opći dio'!#REF!,9,FALSE))</f>
        <v/>
      </c>
      <c r="C283" s="160" t="str">
        <f t="shared" si="23"/>
        <v/>
      </c>
      <c r="D283" s="140" t="str">
        <f t="shared" si="24"/>
        <v/>
      </c>
      <c r="E283" s="152"/>
      <c r="F283" s="141" t="str">
        <f t="shared" si="25"/>
        <v/>
      </c>
      <c r="G283" s="156"/>
      <c r="H283" s="156"/>
      <c r="I283" s="156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dio'!#REF!,'Opći dio'!#REF!,10,FALSE))</f>
        <v/>
      </c>
      <c r="B284" s="142" t="str">
        <f>IF(E284="","",VLOOKUP('Opći dio'!#REF!,'Opći dio'!#REF!,9,FALSE))</f>
        <v/>
      </c>
      <c r="C284" s="160" t="str">
        <f t="shared" si="23"/>
        <v/>
      </c>
      <c r="D284" s="140" t="str">
        <f t="shared" si="24"/>
        <v/>
      </c>
      <c r="E284" s="152"/>
      <c r="F284" s="141" t="str">
        <f t="shared" si="25"/>
        <v/>
      </c>
      <c r="G284" s="156"/>
      <c r="H284" s="156"/>
      <c r="I284" s="156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dio'!#REF!,'Opći dio'!#REF!,10,FALSE))</f>
        <v/>
      </c>
      <c r="B285" s="142" t="str">
        <f>IF(E285="","",VLOOKUP('Opći dio'!#REF!,'Opći dio'!#REF!,9,FALSE))</f>
        <v/>
      </c>
      <c r="C285" s="160" t="str">
        <f t="shared" si="23"/>
        <v/>
      </c>
      <c r="D285" s="140" t="str">
        <f t="shared" si="24"/>
        <v/>
      </c>
      <c r="E285" s="152"/>
      <c r="F285" s="141" t="str">
        <f t="shared" si="25"/>
        <v/>
      </c>
      <c r="G285" s="156"/>
      <c r="H285" s="156"/>
      <c r="I285" s="156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dio'!#REF!,'Opći dio'!#REF!,10,FALSE))</f>
        <v/>
      </c>
      <c r="B286" s="142" t="str">
        <f>IF(E286="","",VLOOKUP('Opći dio'!#REF!,'Opći dio'!#REF!,9,FALSE))</f>
        <v/>
      </c>
      <c r="C286" s="160" t="str">
        <f t="shared" si="23"/>
        <v/>
      </c>
      <c r="D286" s="140" t="str">
        <f t="shared" si="24"/>
        <v/>
      </c>
      <c r="E286" s="152"/>
      <c r="F286" s="141" t="str">
        <f t="shared" si="25"/>
        <v/>
      </c>
      <c r="G286" s="156"/>
      <c r="H286" s="156"/>
      <c r="I286" s="156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dio'!#REF!,'Opći dio'!#REF!,10,FALSE))</f>
        <v/>
      </c>
      <c r="B287" s="142" t="str">
        <f>IF(E287="","",VLOOKUP('Opći dio'!#REF!,'Opći dio'!#REF!,9,FALSE))</f>
        <v/>
      </c>
      <c r="C287" s="160" t="str">
        <f t="shared" si="23"/>
        <v/>
      </c>
      <c r="D287" s="140" t="str">
        <f t="shared" si="24"/>
        <v/>
      </c>
      <c r="E287" s="152"/>
      <c r="F287" s="141" t="str">
        <f t="shared" si="25"/>
        <v/>
      </c>
      <c r="G287" s="156"/>
      <c r="H287" s="156"/>
      <c r="I287" s="156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dio'!#REF!,'Opći dio'!#REF!,10,FALSE))</f>
        <v/>
      </c>
      <c r="B288" s="142" t="str">
        <f>IF(E288="","",VLOOKUP('Opći dio'!#REF!,'Opći dio'!#REF!,9,FALSE))</f>
        <v/>
      </c>
      <c r="C288" s="160" t="str">
        <f t="shared" si="23"/>
        <v/>
      </c>
      <c r="D288" s="140" t="str">
        <f t="shared" si="24"/>
        <v/>
      </c>
      <c r="E288" s="152"/>
      <c r="F288" s="141" t="str">
        <f t="shared" si="25"/>
        <v/>
      </c>
      <c r="G288" s="156"/>
      <c r="H288" s="156"/>
      <c r="I288" s="156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dio'!#REF!,'Opći dio'!#REF!,10,FALSE))</f>
        <v/>
      </c>
      <c r="B289" s="142" t="str">
        <f>IF(E289="","",VLOOKUP('Opći dio'!#REF!,'Opći dio'!#REF!,9,FALSE))</f>
        <v/>
      </c>
      <c r="C289" s="160" t="str">
        <f t="shared" si="23"/>
        <v/>
      </c>
      <c r="D289" s="140" t="str">
        <f t="shared" si="24"/>
        <v/>
      </c>
      <c r="E289" s="152"/>
      <c r="F289" s="141" t="str">
        <f t="shared" si="25"/>
        <v/>
      </c>
      <c r="G289" s="156"/>
      <c r="H289" s="156"/>
      <c r="I289" s="156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dio'!#REF!,'Opći dio'!#REF!,10,FALSE))</f>
        <v/>
      </c>
      <c r="B290" s="142" t="str">
        <f>IF(E290="","",VLOOKUP('Opći dio'!#REF!,'Opći dio'!#REF!,9,FALSE))</f>
        <v/>
      </c>
      <c r="C290" s="160" t="str">
        <f t="shared" si="23"/>
        <v/>
      </c>
      <c r="D290" s="140" t="str">
        <f t="shared" si="24"/>
        <v/>
      </c>
      <c r="E290" s="152"/>
      <c r="F290" s="141" t="str">
        <f t="shared" si="25"/>
        <v/>
      </c>
      <c r="G290" s="156"/>
      <c r="H290" s="156"/>
      <c r="I290" s="156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dio'!#REF!,'Opći dio'!#REF!,10,FALSE))</f>
        <v/>
      </c>
      <c r="B291" s="142" t="str">
        <f>IF(E291="","",VLOOKUP('Opći dio'!#REF!,'Opći dio'!#REF!,9,FALSE))</f>
        <v/>
      </c>
      <c r="C291" s="160" t="str">
        <f t="shared" si="23"/>
        <v/>
      </c>
      <c r="D291" s="140" t="str">
        <f t="shared" si="24"/>
        <v/>
      </c>
      <c r="E291" s="152"/>
      <c r="F291" s="141" t="str">
        <f t="shared" si="25"/>
        <v/>
      </c>
      <c r="G291" s="156"/>
      <c r="H291" s="156"/>
      <c r="I291" s="156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dio'!#REF!,'Opći dio'!#REF!,10,FALSE))</f>
        <v/>
      </c>
      <c r="B292" s="142" t="str">
        <f>IF(E292="","",VLOOKUP('Opći dio'!#REF!,'Opći dio'!#REF!,9,FALSE))</f>
        <v/>
      </c>
      <c r="C292" s="160" t="str">
        <f t="shared" si="23"/>
        <v/>
      </c>
      <c r="D292" s="140" t="str">
        <f t="shared" si="24"/>
        <v/>
      </c>
      <c r="E292" s="152"/>
      <c r="F292" s="141" t="str">
        <f t="shared" si="25"/>
        <v/>
      </c>
      <c r="G292" s="156"/>
      <c r="H292" s="156"/>
      <c r="I292" s="156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dio'!#REF!,'Opći dio'!#REF!,10,FALSE))</f>
        <v/>
      </c>
      <c r="B293" s="142" t="str">
        <f>IF(E293="","",VLOOKUP('Opći dio'!#REF!,'Opći dio'!#REF!,9,FALSE))</f>
        <v/>
      </c>
      <c r="C293" s="160" t="str">
        <f t="shared" si="23"/>
        <v/>
      </c>
      <c r="D293" s="140" t="str">
        <f t="shared" si="24"/>
        <v/>
      </c>
      <c r="E293" s="152"/>
      <c r="F293" s="141" t="str">
        <f t="shared" si="25"/>
        <v/>
      </c>
      <c r="G293" s="156"/>
      <c r="H293" s="156"/>
      <c r="I293" s="156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dio'!#REF!,'Opći dio'!#REF!,10,FALSE))</f>
        <v/>
      </c>
      <c r="B294" s="142" t="str">
        <f>IF(E294="","",VLOOKUP('Opći dio'!#REF!,'Opći dio'!#REF!,9,FALSE))</f>
        <v/>
      </c>
      <c r="C294" s="160" t="str">
        <f t="shared" si="23"/>
        <v/>
      </c>
      <c r="D294" s="140" t="str">
        <f t="shared" si="24"/>
        <v/>
      </c>
      <c r="E294" s="152"/>
      <c r="F294" s="141" t="str">
        <f t="shared" si="25"/>
        <v/>
      </c>
      <c r="G294" s="156"/>
      <c r="H294" s="156"/>
      <c r="I294" s="156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dio'!#REF!,'Opći dio'!#REF!,10,FALSE))</f>
        <v/>
      </c>
      <c r="B295" s="142" t="str">
        <f>IF(E295="","",VLOOKUP('Opći dio'!#REF!,'Opći dio'!#REF!,9,FALSE))</f>
        <v/>
      </c>
      <c r="C295" s="160" t="str">
        <f t="shared" si="23"/>
        <v/>
      </c>
      <c r="D295" s="140" t="str">
        <f t="shared" si="24"/>
        <v/>
      </c>
      <c r="E295" s="152"/>
      <c r="F295" s="141" t="str">
        <f t="shared" si="25"/>
        <v/>
      </c>
      <c r="G295" s="156"/>
      <c r="H295" s="156"/>
      <c r="I295" s="156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dio'!#REF!,'Opći dio'!#REF!,10,FALSE))</f>
        <v/>
      </c>
      <c r="B296" s="142" t="str">
        <f>IF(E296="","",VLOOKUP('Opći dio'!#REF!,'Opći dio'!#REF!,9,FALSE))</f>
        <v/>
      </c>
      <c r="C296" s="160" t="str">
        <f t="shared" si="23"/>
        <v/>
      </c>
      <c r="D296" s="140" t="str">
        <f t="shared" si="24"/>
        <v/>
      </c>
      <c r="E296" s="152"/>
      <c r="F296" s="141" t="str">
        <f t="shared" si="25"/>
        <v/>
      </c>
      <c r="G296" s="156"/>
      <c r="H296" s="156"/>
      <c r="I296" s="156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dio'!#REF!,'Opći dio'!#REF!,10,FALSE))</f>
        <v/>
      </c>
      <c r="B297" s="142" t="str">
        <f>IF(E297="","",VLOOKUP('Opći dio'!#REF!,'Opći dio'!#REF!,9,FALSE))</f>
        <v/>
      </c>
      <c r="C297" s="160" t="str">
        <f t="shared" si="23"/>
        <v/>
      </c>
      <c r="D297" s="140" t="str">
        <f t="shared" si="24"/>
        <v/>
      </c>
      <c r="E297" s="152"/>
      <c r="F297" s="141" t="str">
        <f t="shared" si="25"/>
        <v/>
      </c>
      <c r="G297" s="156"/>
      <c r="H297" s="156"/>
      <c r="I297" s="156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dio'!#REF!,'Opći dio'!#REF!,10,FALSE))</f>
        <v/>
      </c>
      <c r="B298" s="142" t="str">
        <f>IF(E298="","",VLOOKUP('Opći dio'!#REF!,'Opći dio'!#REF!,9,FALSE))</f>
        <v/>
      </c>
      <c r="C298" s="160" t="str">
        <f t="shared" si="23"/>
        <v/>
      </c>
      <c r="D298" s="140" t="str">
        <f t="shared" si="24"/>
        <v/>
      </c>
      <c r="E298" s="152"/>
      <c r="F298" s="141" t="str">
        <f t="shared" si="25"/>
        <v/>
      </c>
      <c r="G298" s="156"/>
      <c r="H298" s="156"/>
      <c r="I298" s="156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dio'!#REF!,'Opći dio'!#REF!,10,FALSE))</f>
        <v/>
      </c>
      <c r="B299" s="142" t="str">
        <f>IF(E299="","",VLOOKUP('Opći dio'!#REF!,'Opći dio'!#REF!,9,FALSE))</f>
        <v/>
      </c>
      <c r="C299" s="160" t="str">
        <f t="shared" si="23"/>
        <v/>
      </c>
      <c r="D299" s="140" t="str">
        <f t="shared" si="24"/>
        <v/>
      </c>
      <c r="E299" s="152"/>
      <c r="F299" s="141" t="str">
        <f t="shared" si="25"/>
        <v/>
      </c>
      <c r="G299" s="156"/>
      <c r="H299" s="156"/>
      <c r="I299" s="156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dio'!#REF!,'Opći dio'!#REF!,10,FALSE))</f>
        <v/>
      </c>
      <c r="B300" s="142" t="str">
        <f>IF(E300="","",VLOOKUP('Opći dio'!#REF!,'Opći dio'!#REF!,9,FALSE))</f>
        <v/>
      </c>
      <c r="C300" s="160" t="str">
        <f t="shared" si="23"/>
        <v/>
      </c>
      <c r="D300" s="140" t="str">
        <f t="shared" si="24"/>
        <v/>
      </c>
      <c r="E300" s="152"/>
      <c r="F300" s="141" t="str">
        <f t="shared" si="25"/>
        <v/>
      </c>
      <c r="G300" s="156"/>
      <c r="H300" s="156"/>
      <c r="I300" s="156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dio'!#REF!,'Opći dio'!#REF!,10,FALSE))</f>
        <v/>
      </c>
      <c r="B301" s="142" t="str">
        <f>IF(E301="","",VLOOKUP('Opći dio'!#REF!,'Opći dio'!#REF!,9,FALSE))</f>
        <v/>
      </c>
      <c r="C301" s="160" t="str">
        <f t="shared" si="23"/>
        <v/>
      </c>
      <c r="D301" s="140" t="str">
        <f t="shared" si="24"/>
        <v/>
      </c>
      <c r="E301" s="152"/>
      <c r="F301" s="141" t="str">
        <f t="shared" si="25"/>
        <v/>
      </c>
      <c r="G301" s="156"/>
      <c r="H301" s="156"/>
      <c r="I301" s="156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dio'!#REF!,'Opći dio'!#REF!,10,FALSE))</f>
        <v/>
      </c>
      <c r="B302" s="142" t="str">
        <f>IF(E302="","",VLOOKUP('Opći dio'!#REF!,'Opći dio'!#REF!,9,FALSE))</f>
        <v/>
      </c>
      <c r="C302" s="160" t="str">
        <f t="shared" si="23"/>
        <v/>
      </c>
      <c r="D302" s="140" t="str">
        <f t="shared" si="24"/>
        <v/>
      </c>
      <c r="E302" s="152"/>
      <c r="F302" s="141" t="str">
        <f t="shared" si="25"/>
        <v/>
      </c>
      <c r="G302" s="156"/>
      <c r="H302" s="156"/>
      <c r="I302" s="156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dio'!#REF!,'Opći dio'!#REF!,10,FALSE))</f>
        <v/>
      </c>
      <c r="B303" s="142" t="str">
        <f>IF(E303="","",VLOOKUP('Opći dio'!#REF!,'Opći dio'!#REF!,9,FALSE))</f>
        <v/>
      </c>
      <c r="C303" s="160" t="str">
        <f t="shared" si="23"/>
        <v/>
      </c>
      <c r="D303" s="140" t="str">
        <f t="shared" si="24"/>
        <v/>
      </c>
      <c r="E303" s="152"/>
      <c r="F303" s="141" t="str">
        <f t="shared" si="25"/>
        <v/>
      </c>
      <c r="G303" s="156"/>
      <c r="H303" s="156"/>
      <c r="I303" s="156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dio'!#REF!,'Opći dio'!#REF!,10,FALSE))</f>
        <v/>
      </c>
      <c r="B304" s="142" t="str">
        <f>IF(E304="","",VLOOKUP('Opći dio'!#REF!,'Opći dio'!#REF!,9,FALSE))</f>
        <v/>
      </c>
      <c r="C304" s="160" t="str">
        <f t="shared" si="23"/>
        <v/>
      </c>
      <c r="D304" s="140" t="str">
        <f t="shared" si="24"/>
        <v/>
      </c>
      <c r="E304" s="152"/>
      <c r="F304" s="141" t="str">
        <f t="shared" si="25"/>
        <v/>
      </c>
      <c r="G304" s="156"/>
      <c r="H304" s="156"/>
      <c r="I304" s="156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dio'!#REF!,'Opći dio'!#REF!,10,FALSE))</f>
        <v/>
      </c>
      <c r="B305" s="142" t="str">
        <f>IF(E305="","",VLOOKUP('Opći dio'!#REF!,'Opći dio'!#REF!,9,FALSE))</f>
        <v/>
      </c>
      <c r="C305" s="160" t="str">
        <f t="shared" si="23"/>
        <v/>
      </c>
      <c r="D305" s="140" t="str">
        <f t="shared" si="24"/>
        <v/>
      </c>
      <c r="E305" s="152"/>
      <c r="F305" s="141" t="str">
        <f t="shared" si="25"/>
        <v/>
      </c>
      <c r="G305" s="156"/>
      <c r="H305" s="156"/>
      <c r="I305" s="156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dio'!#REF!,'Opći dio'!#REF!,10,FALSE))</f>
        <v/>
      </c>
      <c r="B306" s="142" t="str">
        <f>IF(E306="","",VLOOKUP('Opći dio'!#REF!,'Opći dio'!#REF!,9,FALSE))</f>
        <v/>
      </c>
      <c r="C306" s="160" t="str">
        <f t="shared" si="23"/>
        <v/>
      </c>
      <c r="D306" s="140" t="str">
        <f t="shared" si="24"/>
        <v/>
      </c>
      <c r="E306" s="152"/>
      <c r="F306" s="141" t="str">
        <f t="shared" si="25"/>
        <v/>
      </c>
      <c r="G306" s="156"/>
      <c r="H306" s="156"/>
      <c r="I306" s="156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dio'!#REF!,'Opći dio'!#REF!,10,FALSE))</f>
        <v/>
      </c>
      <c r="B307" s="142" t="str">
        <f>IF(E307="","",VLOOKUP('Opći dio'!#REF!,'Opći dio'!#REF!,9,FALSE))</f>
        <v/>
      </c>
      <c r="C307" s="160" t="str">
        <f t="shared" si="23"/>
        <v/>
      </c>
      <c r="D307" s="140" t="str">
        <f t="shared" si="24"/>
        <v/>
      </c>
      <c r="E307" s="152"/>
      <c r="F307" s="141" t="str">
        <f t="shared" si="25"/>
        <v/>
      </c>
      <c r="G307" s="156"/>
      <c r="H307" s="156"/>
      <c r="I307" s="156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dio'!#REF!,'Opći dio'!#REF!,10,FALSE))</f>
        <v/>
      </c>
      <c r="B308" s="142" t="str">
        <f>IF(E308="","",VLOOKUP('Opći dio'!#REF!,'Opći dio'!#REF!,9,FALSE))</f>
        <v/>
      </c>
      <c r="C308" s="160" t="str">
        <f t="shared" si="23"/>
        <v/>
      </c>
      <c r="D308" s="140" t="str">
        <f t="shared" si="24"/>
        <v/>
      </c>
      <c r="E308" s="152"/>
      <c r="F308" s="141" t="str">
        <f t="shared" si="25"/>
        <v/>
      </c>
      <c r="G308" s="156"/>
      <c r="H308" s="156"/>
      <c r="I308" s="156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dio'!#REF!,'Opći dio'!#REF!,10,FALSE))</f>
        <v/>
      </c>
      <c r="B309" s="142" t="str">
        <f>IF(E309="","",VLOOKUP('Opći dio'!#REF!,'Opći dio'!#REF!,9,FALSE))</f>
        <v/>
      </c>
      <c r="C309" s="160" t="str">
        <f t="shared" si="23"/>
        <v/>
      </c>
      <c r="D309" s="140" t="str">
        <f t="shared" si="24"/>
        <v/>
      </c>
      <c r="E309" s="152"/>
      <c r="F309" s="141" t="str">
        <f t="shared" si="25"/>
        <v/>
      </c>
      <c r="G309" s="156"/>
      <c r="H309" s="156"/>
      <c r="I309" s="156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dio'!#REF!,'Opći dio'!#REF!,10,FALSE))</f>
        <v/>
      </c>
      <c r="B310" s="142" t="str">
        <f>IF(E310="","",VLOOKUP('Opći dio'!#REF!,'Opći dio'!#REF!,9,FALSE))</f>
        <v/>
      </c>
      <c r="C310" s="160" t="str">
        <f t="shared" si="23"/>
        <v/>
      </c>
      <c r="D310" s="140" t="str">
        <f t="shared" si="24"/>
        <v/>
      </c>
      <c r="E310" s="152"/>
      <c r="F310" s="141" t="str">
        <f t="shared" si="25"/>
        <v/>
      </c>
      <c r="G310" s="156"/>
      <c r="H310" s="156"/>
      <c r="I310" s="156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dio'!#REF!,'Opći dio'!#REF!,10,FALSE))</f>
        <v/>
      </c>
      <c r="B311" s="142" t="str">
        <f>IF(E311="","",VLOOKUP('Opći dio'!#REF!,'Opći dio'!#REF!,9,FALSE))</f>
        <v/>
      </c>
      <c r="C311" s="160" t="str">
        <f t="shared" si="23"/>
        <v/>
      </c>
      <c r="D311" s="140" t="str">
        <f t="shared" si="24"/>
        <v/>
      </c>
      <c r="E311" s="152"/>
      <c r="F311" s="141" t="str">
        <f t="shared" si="25"/>
        <v/>
      </c>
      <c r="G311" s="156"/>
      <c r="H311" s="156"/>
      <c r="I311" s="156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dio'!#REF!,'Opći dio'!#REF!,10,FALSE))</f>
        <v/>
      </c>
      <c r="B312" s="142" t="str">
        <f>IF(E312="","",VLOOKUP('Opći dio'!#REF!,'Opći dio'!#REF!,9,FALSE))</f>
        <v/>
      </c>
      <c r="C312" s="160" t="str">
        <f t="shared" si="23"/>
        <v/>
      </c>
      <c r="D312" s="140" t="str">
        <f t="shared" si="24"/>
        <v/>
      </c>
      <c r="E312" s="152"/>
      <c r="F312" s="141" t="str">
        <f t="shared" si="25"/>
        <v/>
      </c>
      <c r="G312" s="156"/>
      <c r="H312" s="156"/>
      <c r="I312" s="156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dio'!#REF!,'Opći dio'!#REF!,10,FALSE))</f>
        <v/>
      </c>
      <c r="B313" s="142" t="str">
        <f>IF(E313="","",VLOOKUP('Opći dio'!#REF!,'Opći dio'!#REF!,9,FALSE))</f>
        <v/>
      </c>
      <c r="C313" s="160" t="str">
        <f t="shared" si="23"/>
        <v/>
      </c>
      <c r="D313" s="140" t="str">
        <f t="shared" si="24"/>
        <v/>
      </c>
      <c r="E313" s="152"/>
      <c r="F313" s="141" t="str">
        <f t="shared" si="25"/>
        <v/>
      </c>
      <c r="G313" s="156"/>
      <c r="H313" s="156"/>
      <c r="I313" s="156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dio'!#REF!,'Opći dio'!#REF!,10,FALSE))</f>
        <v/>
      </c>
      <c r="B314" s="142" t="str">
        <f>IF(E314="","",VLOOKUP('Opći dio'!#REF!,'Opći dio'!#REF!,9,FALSE))</f>
        <v/>
      </c>
      <c r="C314" s="160" t="str">
        <f t="shared" si="23"/>
        <v/>
      </c>
      <c r="D314" s="140" t="str">
        <f t="shared" si="24"/>
        <v/>
      </c>
      <c r="E314" s="152"/>
      <c r="F314" s="141" t="str">
        <f t="shared" si="25"/>
        <v/>
      </c>
      <c r="G314" s="156"/>
      <c r="H314" s="156"/>
      <c r="I314" s="156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dio'!#REF!,'Opći dio'!#REF!,10,FALSE))</f>
        <v/>
      </c>
      <c r="B315" s="142" t="str">
        <f>IF(E315="","",VLOOKUP('Opći dio'!#REF!,'Opći dio'!#REF!,9,FALSE))</f>
        <v/>
      </c>
      <c r="C315" s="160" t="str">
        <f t="shared" si="23"/>
        <v/>
      </c>
      <c r="D315" s="140" t="str">
        <f t="shared" si="24"/>
        <v/>
      </c>
      <c r="E315" s="152"/>
      <c r="F315" s="141" t="str">
        <f t="shared" si="25"/>
        <v/>
      </c>
      <c r="G315" s="156"/>
      <c r="H315" s="156"/>
      <c r="I315" s="156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dio'!#REF!,'Opći dio'!#REF!,10,FALSE))</f>
        <v/>
      </c>
      <c r="B316" s="142" t="str">
        <f>IF(E316="","",VLOOKUP('Opći dio'!#REF!,'Opći dio'!#REF!,9,FALSE))</f>
        <v/>
      </c>
      <c r="C316" s="160" t="str">
        <f t="shared" si="23"/>
        <v/>
      </c>
      <c r="D316" s="140" t="str">
        <f t="shared" si="24"/>
        <v/>
      </c>
      <c r="E316" s="152"/>
      <c r="F316" s="141" t="str">
        <f t="shared" si="25"/>
        <v/>
      </c>
      <c r="G316" s="156"/>
      <c r="H316" s="156"/>
      <c r="I316" s="156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dio'!#REF!,'Opći dio'!#REF!,10,FALSE))</f>
        <v/>
      </c>
      <c r="B317" s="142" t="str">
        <f>IF(E317="","",VLOOKUP('Opći dio'!#REF!,'Opći dio'!#REF!,9,FALSE))</f>
        <v/>
      </c>
      <c r="C317" s="160" t="str">
        <f t="shared" si="23"/>
        <v/>
      </c>
      <c r="D317" s="140" t="str">
        <f t="shared" si="24"/>
        <v/>
      </c>
      <c r="E317" s="152"/>
      <c r="F317" s="141" t="str">
        <f t="shared" si="25"/>
        <v/>
      </c>
      <c r="G317" s="156"/>
      <c r="H317" s="156"/>
      <c r="I317" s="156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dio'!#REF!,'Opći dio'!#REF!,10,FALSE))</f>
        <v/>
      </c>
      <c r="B318" s="142" t="str">
        <f>IF(E318="","",VLOOKUP('Opći dio'!#REF!,'Opći dio'!#REF!,9,FALSE))</f>
        <v/>
      </c>
      <c r="C318" s="160" t="str">
        <f t="shared" si="23"/>
        <v/>
      </c>
      <c r="D318" s="140" t="str">
        <f t="shared" si="24"/>
        <v/>
      </c>
      <c r="E318" s="152"/>
      <c r="F318" s="141" t="str">
        <f t="shared" si="25"/>
        <v/>
      </c>
      <c r="G318" s="156"/>
      <c r="H318" s="156"/>
      <c r="I318" s="156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dio'!#REF!,'Opći dio'!#REF!,10,FALSE))</f>
        <v/>
      </c>
      <c r="B319" s="142" t="str">
        <f>IF(E319="","",VLOOKUP('Opći dio'!#REF!,'Opći dio'!#REF!,9,FALSE))</f>
        <v/>
      </c>
      <c r="C319" s="160" t="str">
        <f t="shared" si="23"/>
        <v/>
      </c>
      <c r="D319" s="140" t="str">
        <f t="shared" si="24"/>
        <v/>
      </c>
      <c r="E319" s="152"/>
      <c r="F319" s="141" t="str">
        <f t="shared" si="25"/>
        <v/>
      </c>
      <c r="G319" s="156"/>
      <c r="H319" s="156"/>
      <c r="I319" s="156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dio'!#REF!,'Opći dio'!#REF!,10,FALSE))</f>
        <v/>
      </c>
      <c r="B320" s="142" t="str">
        <f>IF(E320="","",VLOOKUP('Opći dio'!#REF!,'Opći dio'!#REF!,9,FALSE))</f>
        <v/>
      </c>
      <c r="C320" s="160" t="str">
        <f t="shared" si="23"/>
        <v/>
      </c>
      <c r="D320" s="140" t="str">
        <f t="shared" si="24"/>
        <v/>
      </c>
      <c r="E320" s="152"/>
      <c r="F320" s="141" t="str">
        <f t="shared" si="25"/>
        <v/>
      </c>
      <c r="G320" s="156"/>
      <c r="H320" s="156"/>
      <c r="I320" s="156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dio'!#REF!,'Opći dio'!#REF!,10,FALSE))</f>
        <v/>
      </c>
      <c r="B321" s="142" t="str">
        <f>IF(E321="","",VLOOKUP('Opći dio'!#REF!,'Opći dio'!#REF!,9,FALSE))</f>
        <v/>
      </c>
      <c r="C321" s="160" t="str">
        <f t="shared" si="23"/>
        <v/>
      </c>
      <c r="D321" s="140" t="str">
        <f t="shared" si="24"/>
        <v/>
      </c>
      <c r="E321" s="152"/>
      <c r="F321" s="141" t="str">
        <f t="shared" si="25"/>
        <v/>
      </c>
      <c r="G321" s="156"/>
      <c r="H321" s="156"/>
      <c r="I321" s="156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dio'!#REF!,'Opći dio'!#REF!,10,FALSE))</f>
        <v/>
      </c>
      <c r="B322" s="142" t="str">
        <f>IF(E322="","",VLOOKUP('Opći dio'!#REF!,'Opći dio'!#REF!,9,FALSE))</f>
        <v/>
      </c>
      <c r="C322" s="160" t="str">
        <f t="shared" si="23"/>
        <v/>
      </c>
      <c r="D322" s="140" t="str">
        <f t="shared" si="24"/>
        <v/>
      </c>
      <c r="E322" s="152"/>
      <c r="F322" s="141" t="str">
        <f t="shared" si="25"/>
        <v/>
      </c>
      <c r="G322" s="156"/>
      <c r="H322" s="156"/>
      <c r="I322" s="156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dio'!#REF!,'Opći dio'!#REF!,10,FALSE))</f>
        <v/>
      </c>
      <c r="B323" s="142" t="str">
        <f>IF(E323="","",VLOOKUP('Opći dio'!#REF!,'Opći dio'!#REF!,9,FALSE))</f>
        <v/>
      </c>
      <c r="C323" s="160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2"/>
      <c r="F323" s="141" t="str">
        <f t="shared" ref="F323:F386" si="30">IFERROR(VLOOKUP(E323,$R$6:$U$73,2,FALSE),"")</f>
        <v/>
      </c>
      <c r="G323" s="156"/>
      <c r="H323" s="156"/>
      <c r="I323" s="156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dio'!#REF!,'Opći dio'!#REF!,10,FALSE))</f>
        <v/>
      </c>
      <c r="B324" s="142" t="str">
        <f>IF(E324="","",VLOOKUP('Opći dio'!#REF!,'Opći dio'!#REF!,9,FALSE))</f>
        <v/>
      </c>
      <c r="C324" s="160" t="str">
        <f t="shared" si="28"/>
        <v/>
      </c>
      <c r="D324" s="140" t="str">
        <f t="shared" si="29"/>
        <v/>
      </c>
      <c r="E324" s="152"/>
      <c r="F324" s="141" t="str">
        <f t="shared" si="30"/>
        <v/>
      </c>
      <c r="G324" s="156"/>
      <c r="H324" s="156"/>
      <c r="I324" s="156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dio'!#REF!,'Opći dio'!#REF!,10,FALSE))</f>
        <v/>
      </c>
      <c r="B325" s="142" t="str">
        <f>IF(E325="","",VLOOKUP('Opći dio'!#REF!,'Opći dio'!#REF!,9,FALSE))</f>
        <v/>
      </c>
      <c r="C325" s="160" t="str">
        <f t="shared" si="28"/>
        <v/>
      </c>
      <c r="D325" s="140" t="str">
        <f t="shared" si="29"/>
        <v/>
      </c>
      <c r="E325" s="152"/>
      <c r="F325" s="141" t="str">
        <f t="shared" si="30"/>
        <v/>
      </c>
      <c r="G325" s="156"/>
      <c r="H325" s="156"/>
      <c r="I325" s="156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dio'!#REF!,'Opći dio'!#REF!,10,FALSE))</f>
        <v/>
      </c>
      <c r="B326" s="142" t="str">
        <f>IF(E326="","",VLOOKUP('Opći dio'!#REF!,'Opći dio'!#REF!,9,FALSE))</f>
        <v/>
      </c>
      <c r="C326" s="160" t="str">
        <f t="shared" si="28"/>
        <v/>
      </c>
      <c r="D326" s="140" t="str">
        <f t="shared" si="29"/>
        <v/>
      </c>
      <c r="E326" s="152"/>
      <c r="F326" s="141" t="str">
        <f t="shared" si="30"/>
        <v/>
      </c>
      <c r="G326" s="156"/>
      <c r="H326" s="156"/>
      <c r="I326" s="156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dio'!#REF!,'Opći dio'!#REF!,10,FALSE))</f>
        <v/>
      </c>
      <c r="B327" s="142" t="str">
        <f>IF(E327="","",VLOOKUP('Opći dio'!#REF!,'Opći dio'!#REF!,9,FALSE))</f>
        <v/>
      </c>
      <c r="C327" s="160" t="str">
        <f t="shared" si="28"/>
        <v/>
      </c>
      <c r="D327" s="140" t="str">
        <f t="shared" si="29"/>
        <v/>
      </c>
      <c r="E327" s="152"/>
      <c r="F327" s="141" t="str">
        <f t="shared" si="30"/>
        <v/>
      </c>
      <c r="G327" s="156"/>
      <c r="H327" s="156"/>
      <c r="I327" s="156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dio'!#REF!,'Opći dio'!#REF!,10,FALSE))</f>
        <v/>
      </c>
      <c r="B328" s="142" t="str">
        <f>IF(E328="","",VLOOKUP('Opći dio'!#REF!,'Opći dio'!#REF!,9,FALSE))</f>
        <v/>
      </c>
      <c r="C328" s="160" t="str">
        <f t="shared" si="28"/>
        <v/>
      </c>
      <c r="D328" s="140" t="str">
        <f t="shared" si="29"/>
        <v/>
      </c>
      <c r="E328" s="152"/>
      <c r="F328" s="141" t="str">
        <f t="shared" si="30"/>
        <v/>
      </c>
      <c r="G328" s="156"/>
      <c r="H328" s="156"/>
      <c r="I328" s="156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dio'!#REF!,'Opći dio'!#REF!,10,FALSE))</f>
        <v/>
      </c>
      <c r="B329" s="142" t="str">
        <f>IF(E329="","",VLOOKUP('Opći dio'!#REF!,'Opći dio'!#REF!,9,FALSE))</f>
        <v/>
      </c>
      <c r="C329" s="160" t="str">
        <f t="shared" si="28"/>
        <v/>
      </c>
      <c r="D329" s="140" t="str">
        <f t="shared" si="29"/>
        <v/>
      </c>
      <c r="E329" s="152"/>
      <c r="F329" s="141" t="str">
        <f t="shared" si="30"/>
        <v/>
      </c>
      <c r="G329" s="156"/>
      <c r="H329" s="156"/>
      <c r="I329" s="156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dio'!#REF!,'Opći dio'!#REF!,10,FALSE))</f>
        <v/>
      </c>
      <c r="B330" s="142" t="str">
        <f>IF(E330="","",VLOOKUP('Opći dio'!#REF!,'Opći dio'!#REF!,9,FALSE))</f>
        <v/>
      </c>
      <c r="C330" s="160" t="str">
        <f t="shared" si="28"/>
        <v/>
      </c>
      <c r="D330" s="140" t="str">
        <f t="shared" si="29"/>
        <v/>
      </c>
      <c r="E330" s="152"/>
      <c r="F330" s="141" t="str">
        <f t="shared" si="30"/>
        <v/>
      </c>
      <c r="G330" s="156"/>
      <c r="H330" s="156"/>
      <c r="I330" s="156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dio'!#REF!,'Opći dio'!#REF!,10,FALSE))</f>
        <v/>
      </c>
      <c r="B331" s="142" t="str">
        <f>IF(E331="","",VLOOKUP('Opći dio'!#REF!,'Opći dio'!#REF!,9,FALSE))</f>
        <v/>
      </c>
      <c r="C331" s="160" t="str">
        <f t="shared" si="28"/>
        <v/>
      </c>
      <c r="D331" s="140" t="str">
        <f t="shared" si="29"/>
        <v/>
      </c>
      <c r="E331" s="152"/>
      <c r="F331" s="141" t="str">
        <f t="shared" si="30"/>
        <v/>
      </c>
      <c r="G331" s="156"/>
      <c r="H331" s="156"/>
      <c r="I331" s="156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dio'!#REF!,'Opći dio'!#REF!,10,FALSE))</f>
        <v/>
      </c>
      <c r="B332" s="142" t="str">
        <f>IF(E332="","",VLOOKUP('Opći dio'!#REF!,'Opći dio'!#REF!,9,FALSE))</f>
        <v/>
      </c>
      <c r="C332" s="160" t="str">
        <f t="shared" si="28"/>
        <v/>
      </c>
      <c r="D332" s="140" t="str">
        <f t="shared" si="29"/>
        <v/>
      </c>
      <c r="E332" s="152"/>
      <c r="F332" s="141" t="str">
        <f t="shared" si="30"/>
        <v/>
      </c>
      <c r="G332" s="156"/>
      <c r="H332" s="156"/>
      <c r="I332" s="156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dio'!#REF!,'Opći dio'!#REF!,10,FALSE))</f>
        <v/>
      </c>
      <c r="B333" s="142" t="str">
        <f>IF(E333="","",VLOOKUP('Opći dio'!#REF!,'Opći dio'!#REF!,9,FALSE))</f>
        <v/>
      </c>
      <c r="C333" s="160" t="str">
        <f t="shared" si="28"/>
        <v/>
      </c>
      <c r="D333" s="140" t="str">
        <f t="shared" si="29"/>
        <v/>
      </c>
      <c r="E333" s="152"/>
      <c r="F333" s="141" t="str">
        <f t="shared" si="30"/>
        <v/>
      </c>
      <c r="G333" s="156"/>
      <c r="H333" s="156"/>
      <c r="I333" s="156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dio'!#REF!,'Opći dio'!#REF!,10,FALSE))</f>
        <v/>
      </c>
      <c r="B334" s="142" t="str">
        <f>IF(E334="","",VLOOKUP('Opći dio'!#REF!,'Opći dio'!#REF!,9,FALSE))</f>
        <v/>
      </c>
      <c r="C334" s="160" t="str">
        <f t="shared" si="28"/>
        <v/>
      </c>
      <c r="D334" s="140" t="str">
        <f t="shared" si="29"/>
        <v/>
      </c>
      <c r="E334" s="152"/>
      <c r="F334" s="141" t="str">
        <f t="shared" si="30"/>
        <v/>
      </c>
      <c r="G334" s="156"/>
      <c r="H334" s="156"/>
      <c r="I334" s="156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dio'!#REF!,'Opći dio'!#REF!,10,FALSE))</f>
        <v/>
      </c>
      <c r="B335" s="142" t="str">
        <f>IF(E335="","",VLOOKUP('Opći dio'!#REF!,'Opći dio'!#REF!,9,FALSE))</f>
        <v/>
      </c>
      <c r="C335" s="160" t="str">
        <f t="shared" si="28"/>
        <v/>
      </c>
      <c r="D335" s="140" t="str">
        <f t="shared" si="29"/>
        <v/>
      </c>
      <c r="E335" s="152"/>
      <c r="F335" s="141" t="str">
        <f t="shared" si="30"/>
        <v/>
      </c>
      <c r="G335" s="156"/>
      <c r="H335" s="156"/>
      <c r="I335" s="156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dio'!#REF!,'Opći dio'!#REF!,10,FALSE))</f>
        <v/>
      </c>
      <c r="B336" s="142" t="str">
        <f>IF(E336="","",VLOOKUP('Opći dio'!#REF!,'Opći dio'!#REF!,9,FALSE))</f>
        <v/>
      </c>
      <c r="C336" s="160" t="str">
        <f t="shared" si="28"/>
        <v/>
      </c>
      <c r="D336" s="140" t="str">
        <f t="shared" si="29"/>
        <v/>
      </c>
      <c r="E336" s="152"/>
      <c r="F336" s="141" t="str">
        <f t="shared" si="30"/>
        <v/>
      </c>
      <c r="G336" s="156"/>
      <c r="H336" s="156"/>
      <c r="I336" s="156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dio'!#REF!,'Opći dio'!#REF!,10,FALSE))</f>
        <v/>
      </c>
      <c r="B337" s="142" t="str">
        <f>IF(E337="","",VLOOKUP('Opći dio'!#REF!,'Opći dio'!#REF!,9,FALSE))</f>
        <v/>
      </c>
      <c r="C337" s="160" t="str">
        <f t="shared" si="28"/>
        <v/>
      </c>
      <c r="D337" s="140" t="str">
        <f t="shared" si="29"/>
        <v/>
      </c>
      <c r="E337" s="152"/>
      <c r="F337" s="141" t="str">
        <f t="shared" si="30"/>
        <v/>
      </c>
      <c r="G337" s="156"/>
      <c r="H337" s="156"/>
      <c r="I337" s="156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dio'!#REF!,'Opći dio'!#REF!,10,FALSE))</f>
        <v/>
      </c>
      <c r="B338" s="142" t="str">
        <f>IF(E338="","",VLOOKUP('Opći dio'!#REF!,'Opći dio'!#REF!,9,FALSE))</f>
        <v/>
      </c>
      <c r="C338" s="160" t="str">
        <f t="shared" si="28"/>
        <v/>
      </c>
      <c r="D338" s="140" t="str">
        <f t="shared" si="29"/>
        <v/>
      </c>
      <c r="E338" s="152"/>
      <c r="F338" s="141" t="str">
        <f t="shared" si="30"/>
        <v/>
      </c>
      <c r="G338" s="156"/>
      <c r="H338" s="156"/>
      <c r="I338" s="156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dio'!#REF!,'Opći dio'!#REF!,10,FALSE))</f>
        <v/>
      </c>
      <c r="B339" s="142" t="str">
        <f>IF(E339="","",VLOOKUP('Opći dio'!#REF!,'Opći dio'!#REF!,9,FALSE))</f>
        <v/>
      </c>
      <c r="C339" s="160" t="str">
        <f t="shared" si="28"/>
        <v/>
      </c>
      <c r="D339" s="140" t="str">
        <f t="shared" si="29"/>
        <v/>
      </c>
      <c r="E339" s="152"/>
      <c r="F339" s="141" t="str">
        <f t="shared" si="30"/>
        <v/>
      </c>
      <c r="G339" s="156"/>
      <c r="H339" s="156"/>
      <c r="I339" s="156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dio'!#REF!,'Opći dio'!#REF!,10,FALSE))</f>
        <v/>
      </c>
      <c r="B340" s="142" t="str">
        <f>IF(E340="","",VLOOKUP('Opći dio'!#REF!,'Opći dio'!#REF!,9,FALSE))</f>
        <v/>
      </c>
      <c r="C340" s="160" t="str">
        <f t="shared" si="28"/>
        <v/>
      </c>
      <c r="D340" s="140" t="str">
        <f t="shared" si="29"/>
        <v/>
      </c>
      <c r="E340" s="152"/>
      <c r="F340" s="141" t="str">
        <f t="shared" si="30"/>
        <v/>
      </c>
      <c r="G340" s="156"/>
      <c r="H340" s="156"/>
      <c r="I340" s="156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dio'!#REF!,'Opći dio'!#REF!,10,FALSE))</f>
        <v/>
      </c>
      <c r="B341" s="142" t="str">
        <f>IF(E341="","",VLOOKUP('Opći dio'!#REF!,'Opći dio'!#REF!,9,FALSE))</f>
        <v/>
      </c>
      <c r="C341" s="160" t="str">
        <f t="shared" si="28"/>
        <v/>
      </c>
      <c r="D341" s="140" t="str">
        <f t="shared" si="29"/>
        <v/>
      </c>
      <c r="E341" s="152"/>
      <c r="F341" s="141" t="str">
        <f t="shared" si="30"/>
        <v/>
      </c>
      <c r="G341" s="156"/>
      <c r="H341" s="156"/>
      <c r="I341" s="156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dio'!#REF!,'Opći dio'!#REF!,10,FALSE))</f>
        <v/>
      </c>
      <c r="B342" s="142" t="str">
        <f>IF(E342="","",VLOOKUP('Opći dio'!#REF!,'Opći dio'!#REF!,9,FALSE))</f>
        <v/>
      </c>
      <c r="C342" s="160" t="str">
        <f t="shared" si="28"/>
        <v/>
      </c>
      <c r="D342" s="140" t="str">
        <f t="shared" si="29"/>
        <v/>
      </c>
      <c r="E342" s="152"/>
      <c r="F342" s="141" t="str">
        <f t="shared" si="30"/>
        <v/>
      </c>
      <c r="G342" s="156"/>
      <c r="H342" s="156"/>
      <c r="I342" s="156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dio'!#REF!,'Opći dio'!#REF!,10,FALSE))</f>
        <v/>
      </c>
      <c r="B343" s="142" t="str">
        <f>IF(E343="","",VLOOKUP('Opći dio'!#REF!,'Opći dio'!#REF!,9,FALSE))</f>
        <v/>
      </c>
      <c r="C343" s="160" t="str">
        <f t="shared" si="28"/>
        <v/>
      </c>
      <c r="D343" s="140" t="str">
        <f t="shared" si="29"/>
        <v/>
      </c>
      <c r="E343" s="152"/>
      <c r="F343" s="141" t="str">
        <f t="shared" si="30"/>
        <v/>
      </c>
      <c r="G343" s="156"/>
      <c r="H343" s="156"/>
      <c r="I343" s="156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dio'!#REF!,'Opći dio'!#REF!,10,FALSE))</f>
        <v/>
      </c>
      <c r="B344" s="142" t="str">
        <f>IF(E344="","",VLOOKUP('Opći dio'!#REF!,'Opći dio'!#REF!,9,FALSE))</f>
        <v/>
      </c>
      <c r="C344" s="160" t="str">
        <f t="shared" si="28"/>
        <v/>
      </c>
      <c r="D344" s="140" t="str">
        <f t="shared" si="29"/>
        <v/>
      </c>
      <c r="E344" s="152"/>
      <c r="F344" s="141" t="str">
        <f t="shared" si="30"/>
        <v/>
      </c>
      <c r="G344" s="156"/>
      <c r="H344" s="156"/>
      <c r="I344" s="156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dio'!#REF!,'Opći dio'!#REF!,10,FALSE))</f>
        <v/>
      </c>
      <c r="B345" s="142" t="str">
        <f>IF(E345="","",VLOOKUP('Opći dio'!#REF!,'Opći dio'!#REF!,9,FALSE))</f>
        <v/>
      </c>
      <c r="C345" s="160" t="str">
        <f t="shared" si="28"/>
        <v/>
      </c>
      <c r="D345" s="140" t="str">
        <f t="shared" si="29"/>
        <v/>
      </c>
      <c r="E345" s="152"/>
      <c r="F345" s="141" t="str">
        <f t="shared" si="30"/>
        <v/>
      </c>
      <c r="G345" s="156"/>
      <c r="H345" s="156"/>
      <c r="I345" s="156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dio'!#REF!,'Opći dio'!#REF!,10,FALSE))</f>
        <v/>
      </c>
      <c r="B346" s="142" t="str">
        <f>IF(E346="","",VLOOKUP('Opći dio'!#REF!,'Opći dio'!#REF!,9,FALSE))</f>
        <v/>
      </c>
      <c r="C346" s="160" t="str">
        <f t="shared" si="28"/>
        <v/>
      </c>
      <c r="D346" s="140" t="str">
        <f t="shared" si="29"/>
        <v/>
      </c>
      <c r="E346" s="152"/>
      <c r="F346" s="141" t="str">
        <f t="shared" si="30"/>
        <v/>
      </c>
      <c r="G346" s="156"/>
      <c r="H346" s="156"/>
      <c r="I346" s="156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dio'!#REF!,'Opći dio'!#REF!,10,FALSE))</f>
        <v/>
      </c>
      <c r="B347" s="142" t="str">
        <f>IF(E347="","",VLOOKUP('Opći dio'!#REF!,'Opći dio'!#REF!,9,FALSE))</f>
        <v/>
      </c>
      <c r="C347" s="160" t="str">
        <f t="shared" si="28"/>
        <v/>
      </c>
      <c r="D347" s="140" t="str">
        <f t="shared" si="29"/>
        <v/>
      </c>
      <c r="E347" s="152"/>
      <c r="F347" s="141" t="str">
        <f t="shared" si="30"/>
        <v/>
      </c>
      <c r="G347" s="156"/>
      <c r="H347" s="156"/>
      <c r="I347" s="156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dio'!#REF!,'Opći dio'!#REF!,10,FALSE))</f>
        <v/>
      </c>
      <c r="B348" s="142" t="str">
        <f>IF(E348="","",VLOOKUP('Opći dio'!#REF!,'Opći dio'!#REF!,9,FALSE))</f>
        <v/>
      </c>
      <c r="C348" s="160" t="str">
        <f t="shared" si="28"/>
        <v/>
      </c>
      <c r="D348" s="140" t="str">
        <f t="shared" si="29"/>
        <v/>
      </c>
      <c r="E348" s="152"/>
      <c r="F348" s="141" t="str">
        <f t="shared" si="30"/>
        <v/>
      </c>
      <c r="G348" s="156"/>
      <c r="H348" s="156"/>
      <c r="I348" s="156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dio'!#REF!,'Opći dio'!#REF!,10,FALSE))</f>
        <v/>
      </c>
      <c r="B349" s="142" t="str">
        <f>IF(E349="","",VLOOKUP('Opći dio'!#REF!,'Opći dio'!#REF!,9,FALSE))</f>
        <v/>
      </c>
      <c r="C349" s="160" t="str">
        <f t="shared" si="28"/>
        <v/>
      </c>
      <c r="D349" s="140" t="str">
        <f t="shared" si="29"/>
        <v/>
      </c>
      <c r="E349" s="152"/>
      <c r="F349" s="141" t="str">
        <f t="shared" si="30"/>
        <v/>
      </c>
      <c r="G349" s="156"/>
      <c r="H349" s="156"/>
      <c r="I349" s="156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dio'!#REF!,'Opći dio'!#REF!,10,FALSE))</f>
        <v/>
      </c>
      <c r="B350" s="142" t="str">
        <f>IF(E350="","",VLOOKUP('Opći dio'!#REF!,'Opći dio'!#REF!,9,FALSE))</f>
        <v/>
      </c>
      <c r="C350" s="160" t="str">
        <f t="shared" si="28"/>
        <v/>
      </c>
      <c r="D350" s="140" t="str">
        <f t="shared" si="29"/>
        <v/>
      </c>
      <c r="E350" s="152"/>
      <c r="F350" s="141" t="str">
        <f t="shared" si="30"/>
        <v/>
      </c>
      <c r="G350" s="156"/>
      <c r="H350" s="156"/>
      <c r="I350" s="156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dio'!#REF!,'Opći dio'!#REF!,10,FALSE))</f>
        <v/>
      </c>
      <c r="B351" s="142" t="str">
        <f>IF(E351="","",VLOOKUP('Opći dio'!#REF!,'Opći dio'!#REF!,9,FALSE))</f>
        <v/>
      </c>
      <c r="C351" s="160" t="str">
        <f t="shared" si="28"/>
        <v/>
      </c>
      <c r="D351" s="140" t="str">
        <f t="shared" si="29"/>
        <v/>
      </c>
      <c r="E351" s="152"/>
      <c r="F351" s="141" t="str">
        <f t="shared" si="30"/>
        <v/>
      </c>
      <c r="G351" s="156"/>
      <c r="H351" s="156"/>
      <c r="I351" s="156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dio'!#REF!,'Opći dio'!#REF!,10,FALSE))</f>
        <v/>
      </c>
      <c r="B352" s="142" t="str">
        <f>IF(E352="","",VLOOKUP('Opći dio'!#REF!,'Opći dio'!#REF!,9,FALSE))</f>
        <v/>
      </c>
      <c r="C352" s="160" t="str">
        <f t="shared" si="28"/>
        <v/>
      </c>
      <c r="D352" s="140" t="str">
        <f t="shared" si="29"/>
        <v/>
      </c>
      <c r="E352" s="152"/>
      <c r="F352" s="141" t="str">
        <f t="shared" si="30"/>
        <v/>
      </c>
      <c r="G352" s="156"/>
      <c r="H352" s="156"/>
      <c r="I352" s="156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dio'!#REF!,'Opći dio'!#REF!,10,FALSE))</f>
        <v/>
      </c>
      <c r="B353" s="142" t="str">
        <f>IF(E353="","",VLOOKUP('Opći dio'!#REF!,'Opći dio'!#REF!,9,FALSE))</f>
        <v/>
      </c>
      <c r="C353" s="160" t="str">
        <f t="shared" si="28"/>
        <v/>
      </c>
      <c r="D353" s="140" t="str">
        <f t="shared" si="29"/>
        <v/>
      </c>
      <c r="E353" s="152"/>
      <c r="F353" s="141" t="str">
        <f t="shared" si="30"/>
        <v/>
      </c>
      <c r="G353" s="156"/>
      <c r="H353" s="156"/>
      <c r="I353" s="156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dio'!#REF!,'Opći dio'!#REF!,10,FALSE))</f>
        <v/>
      </c>
      <c r="B354" s="142" t="str">
        <f>IF(E354="","",VLOOKUP('Opći dio'!#REF!,'Opći dio'!#REF!,9,FALSE))</f>
        <v/>
      </c>
      <c r="C354" s="160" t="str">
        <f t="shared" si="28"/>
        <v/>
      </c>
      <c r="D354" s="140" t="str">
        <f t="shared" si="29"/>
        <v/>
      </c>
      <c r="E354" s="152"/>
      <c r="F354" s="141" t="str">
        <f t="shared" si="30"/>
        <v/>
      </c>
      <c r="G354" s="156"/>
      <c r="H354" s="156"/>
      <c r="I354" s="156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dio'!#REF!,'Opći dio'!#REF!,10,FALSE))</f>
        <v/>
      </c>
      <c r="B355" s="142" t="str">
        <f>IF(E355="","",VLOOKUP('Opći dio'!#REF!,'Opći dio'!#REF!,9,FALSE))</f>
        <v/>
      </c>
      <c r="C355" s="160" t="str">
        <f t="shared" si="28"/>
        <v/>
      </c>
      <c r="D355" s="140" t="str">
        <f t="shared" si="29"/>
        <v/>
      </c>
      <c r="E355" s="152"/>
      <c r="F355" s="141" t="str">
        <f t="shared" si="30"/>
        <v/>
      </c>
      <c r="G355" s="156"/>
      <c r="H355" s="156"/>
      <c r="I355" s="156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dio'!#REF!,'Opći dio'!#REF!,10,FALSE))</f>
        <v/>
      </c>
      <c r="B356" s="142" t="str">
        <f>IF(E356="","",VLOOKUP('Opći dio'!#REF!,'Opći dio'!#REF!,9,FALSE))</f>
        <v/>
      </c>
      <c r="C356" s="160" t="str">
        <f t="shared" si="28"/>
        <v/>
      </c>
      <c r="D356" s="140" t="str">
        <f t="shared" si="29"/>
        <v/>
      </c>
      <c r="E356" s="152"/>
      <c r="F356" s="141" t="str">
        <f t="shared" si="30"/>
        <v/>
      </c>
      <c r="G356" s="156"/>
      <c r="H356" s="156"/>
      <c r="I356" s="156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dio'!#REF!,'Opći dio'!#REF!,10,FALSE))</f>
        <v/>
      </c>
      <c r="B357" s="142" t="str">
        <f>IF(E357="","",VLOOKUP('Opći dio'!#REF!,'Opći dio'!#REF!,9,FALSE))</f>
        <v/>
      </c>
      <c r="C357" s="160" t="str">
        <f t="shared" si="28"/>
        <v/>
      </c>
      <c r="D357" s="140" t="str">
        <f t="shared" si="29"/>
        <v/>
      </c>
      <c r="E357" s="152"/>
      <c r="F357" s="141" t="str">
        <f t="shared" si="30"/>
        <v/>
      </c>
      <c r="G357" s="156"/>
      <c r="H357" s="156"/>
      <c r="I357" s="156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dio'!#REF!,'Opći dio'!#REF!,10,FALSE))</f>
        <v/>
      </c>
      <c r="B358" s="142" t="str">
        <f>IF(E358="","",VLOOKUP('Opći dio'!#REF!,'Opći dio'!#REF!,9,FALSE))</f>
        <v/>
      </c>
      <c r="C358" s="160" t="str">
        <f t="shared" si="28"/>
        <v/>
      </c>
      <c r="D358" s="140" t="str">
        <f t="shared" si="29"/>
        <v/>
      </c>
      <c r="E358" s="152"/>
      <c r="F358" s="141" t="str">
        <f t="shared" si="30"/>
        <v/>
      </c>
      <c r="G358" s="156"/>
      <c r="H358" s="156"/>
      <c r="I358" s="156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dio'!#REF!,'Opći dio'!#REF!,10,FALSE))</f>
        <v/>
      </c>
      <c r="B359" s="142" t="str">
        <f>IF(E359="","",VLOOKUP('Opći dio'!#REF!,'Opći dio'!#REF!,9,FALSE))</f>
        <v/>
      </c>
      <c r="C359" s="160" t="str">
        <f t="shared" si="28"/>
        <v/>
      </c>
      <c r="D359" s="140" t="str">
        <f t="shared" si="29"/>
        <v/>
      </c>
      <c r="E359" s="152"/>
      <c r="F359" s="141" t="str">
        <f t="shared" si="30"/>
        <v/>
      </c>
      <c r="G359" s="156"/>
      <c r="H359" s="156"/>
      <c r="I359" s="156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dio'!#REF!,'Opći dio'!#REF!,10,FALSE))</f>
        <v/>
      </c>
      <c r="B360" s="142" t="str">
        <f>IF(E360="","",VLOOKUP('Opći dio'!#REF!,'Opći dio'!#REF!,9,FALSE))</f>
        <v/>
      </c>
      <c r="C360" s="160" t="str">
        <f t="shared" si="28"/>
        <v/>
      </c>
      <c r="D360" s="140" t="str">
        <f t="shared" si="29"/>
        <v/>
      </c>
      <c r="E360" s="152"/>
      <c r="F360" s="141" t="str">
        <f t="shared" si="30"/>
        <v/>
      </c>
      <c r="G360" s="156"/>
      <c r="H360" s="156"/>
      <c r="I360" s="156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dio'!#REF!,'Opći dio'!#REF!,10,FALSE))</f>
        <v/>
      </c>
      <c r="B361" s="142" t="str">
        <f>IF(E361="","",VLOOKUP('Opći dio'!#REF!,'Opći dio'!#REF!,9,FALSE))</f>
        <v/>
      </c>
      <c r="C361" s="160" t="str">
        <f t="shared" si="28"/>
        <v/>
      </c>
      <c r="D361" s="140" t="str">
        <f t="shared" si="29"/>
        <v/>
      </c>
      <c r="E361" s="152"/>
      <c r="F361" s="141" t="str">
        <f t="shared" si="30"/>
        <v/>
      </c>
      <c r="G361" s="156"/>
      <c r="H361" s="156"/>
      <c r="I361" s="156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dio'!#REF!,'Opći dio'!#REF!,10,FALSE))</f>
        <v/>
      </c>
      <c r="B362" s="142" t="str">
        <f>IF(E362="","",VLOOKUP('Opći dio'!#REF!,'Opći dio'!#REF!,9,FALSE))</f>
        <v/>
      </c>
      <c r="C362" s="160" t="str">
        <f t="shared" si="28"/>
        <v/>
      </c>
      <c r="D362" s="140" t="str">
        <f t="shared" si="29"/>
        <v/>
      </c>
      <c r="E362" s="152"/>
      <c r="F362" s="141" t="str">
        <f t="shared" si="30"/>
        <v/>
      </c>
      <c r="G362" s="156"/>
      <c r="H362" s="156"/>
      <c r="I362" s="156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dio'!#REF!,'Opći dio'!#REF!,10,FALSE))</f>
        <v/>
      </c>
      <c r="B363" s="142" t="str">
        <f>IF(E363="","",VLOOKUP('Opći dio'!#REF!,'Opći dio'!#REF!,9,FALSE))</f>
        <v/>
      </c>
      <c r="C363" s="160" t="str">
        <f t="shared" si="28"/>
        <v/>
      </c>
      <c r="D363" s="140" t="str">
        <f t="shared" si="29"/>
        <v/>
      </c>
      <c r="E363" s="152"/>
      <c r="F363" s="141" t="str">
        <f t="shared" si="30"/>
        <v/>
      </c>
      <c r="G363" s="156"/>
      <c r="H363" s="156"/>
      <c r="I363" s="156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dio'!#REF!,'Opći dio'!#REF!,10,FALSE))</f>
        <v/>
      </c>
      <c r="B364" s="142" t="str">
        <f>IF(E364="","",VLOOKUP('Opći dio'!#REF!,'Opći dio'!#REF!,9,FALSE))</f>
        <v/>
      </c>
      <c r="C364" s="160" t="str">
        <f t="shared" si="28"/>
        <v/>
      </c>
      <c r="D364" s="140" t="str">
        <f t="shared" si="29"/>
        <v/>
      </c>
      <c r="E364" s="152"/>
      <c r="F364" s="141" t="str">
        <f t="shared" si="30"/>
        <v/>
      </c>
      <c r="G364" s="156"/>
      <c r="H364" s="156"/>
      <c r="I364" s="156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dio'!#REF!,'Opći dio'!#REF!,10,FALSE))</f>
        <v/>
      </c>
      <c r="B365" s="142" t="str">
        <f>IF(E365="","",VLOOKUP('Opći dio'!#REF!,'Opći dio'!#REF!,9,FALSE))</f>
        <v/>
      </c>
      <c r="C365" s="160" t="str">
        <f t="shared" si="28"/>
        <v/>
      </c>
      <c r="D365" s="140" t="str">
        <f t="shared" si="29"/>
        <v/>
      </c>
      <c r="E365" s="152"/>
      <c r="F365" s="141" t="str">
        <f t="shared" si="30"/>
        <v/>
      </c>
      <c r="G365" s="156"/>
      <c r="H365" s="156"/>
      <c r="I365" s="156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dio'!#REF!,'Opći dio'!#REF!,10,FALSE))</f>
        <v/>
      </c>
      <c r="B366" s="142" t="str">
        <f>IF(E366="","",VLOOKUP('Opći dio'!#REF!,'Opći dio'!#REF!,9,FALSE))</f>
        <v/>
      </c>
      <c r="C366" s="160" t="str">
        <f t="shared" si="28"/>
        <v/>
      </c>
      <c r="D366" s="140" t="str">
        <f t="shared" si="29"/>
        <v/>
      </c>
      <c r="E366" s="152"/>
      <c r="F366" s="141" t="str">
        <f t="shared" si="30"/>
        <v/>
      </c>
      <c r="G366" s="156"/>
      <c r="H366" s="156"/>
      <c r="I366" s="156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dio'!#REF!,'Opći dio'!#REF!,10,FALSE))</f>
        <v/>
      </c>
      <c r="B367" s="142" t="str">
        <f>IF(E367="","",VLOOKUP('Opći dio'!#REF!,'Opći dio'!#REF!,9,FALSE))</f>
        <v/>
      </c>
      <c r="C367" s="160" t="str">
        <f t="shared" si="28"/>
        <v/>
      </c>
      <c r="D367" s="140" t="str">
        <f t="shared" si="29"/>
        <v/>
      </c>
      <c r="E367" s="152"/>
      <c r="F367" s="141" t="str">
        <f t="shared" si="30"/>
        <v/>
      </c>
      <c r="G367" s="156"/>
      <c r="H367" s="156"/>
      <c r="I367" s="156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dio'!#REF!,'Opći dio'!#REF!,10,FALSE))</f>
        <v/>
      </c>
      <c r="B368" s="142" t="str">
        <f>IF(E368="","",VLOOKUP('Opći dio'!#REF!,'Opći dio'!#REF!,9,FALSE))</f>
        <v/>
      </c>
      <c r="C368" s="160" t="str">
        <f t="shared" si="28"/>
        <v/>
      </c>
      <c r="D368" s="140" t="str">
        <f t="shared" si="29"/>
        <v/>
      </c>
      <c r="E368" s="152"/>
      <c r="F368" s="141" t="str">
        <f t="shared" si="30"/>
        <v/>
      </c>
      <c r="G368" s="156"/>
      <c r="H368" s="156"/>
      <c r="I368" s="156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dio'!#REF!,'Opći dio'!#REF!,10,FALSE))</f>
        <v/>
      </c>
      <c r="B369" s="142" t="str">
        <f>IF(E369="","",VLOOKUP('Opći dio'!#REF!,'Opći dio'!#REF!,9,FALSE))</f>
        <v/>
      </c>
      <c r="C369" s="160" t="str">
        <f t="shared" si="28"/>
        <v/>
      </c>
      <c r="D369" s="140" t="str">
        <f t="shared" si="29"/>
        <v/>
      </c>
      <c r="E369" s="152"/>
      <c r="F369" s="141" t="str">
        <f t="shared" si="30"/>
        <v/>
      </c>
      <c r="G369" s="156"/>
      <c r="H369" s="156"/>
      <c r="I369" s="156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dio'!#REF!,'Opći dio'!#REF!,10,FALSE))</f>
        <v/>
      </c>
      <c r="B370" s="142" t="str">
        <f>IF(E370="","",VLOOKUP('Opći dio'!#REF!,'Opći dio'!#REF!,9,FALSE))</f>
        <v/>
      </c>
      <c r="C370" s="160" t="str">
        <f t="shared" si="28"/>
        <v/>
      </c>
      <c r="D370" s="140" t="str">
        <f t="shared" si="29"/>
        <v/>
      </c>
      <c r="E370" s="152"/>
      <c r="F370" s="141" t="str">
        <f t="shared" si="30"/>
        <v/>
      </c>
      <c r="G370" s="156"/>
      <c r="H370" s="156"/>
      <c r="I370" s="156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dio'!#REF!,'Opći dio'!#REF!,10,FALSE))</f>
        <v/>
      </c>
      <c r="B371" s="142" t="str">
        <f>IF(E371="","",VLOOKUP('Opći dio'!#REF!,'Opći dio'!#REF!,9,FALSE))</f>
        <v/>
      </c>
      <c r="C371" s="160" t="str">
        <f t="shared" si="28"/>
        <v/>
      </c>
      <c r="D371" s="140" t="str">
        <f t="shared" si="29"/>
        <v/>
      </c>
      <c r="E371" s="152"/>
      <c r="F371" s="141" t="str">
        <f t="shared" si="30"/>
        <v/>
      </c>
      <c r="G371" s="156"/>
      <c r="H371" s="156"/>
      <c r="I371" s="156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dio'!#REF!,'Opći dio'!#REF!,10,FALSE))</f>
        <v/>
      </c>
      <c r="B372" s="142" t="str">
        <f>IF(E372="","",VLOOKUP('Opći dio'!#REF!,'Opći dio'!#REF!,9,FALSE))</f>
        <v/>
      </c>
      <c r="C372" s="160" t="str">
        <f t="shared" si="28"/>
        <v/>
      </c>
      <c r="D372" s="140" t="str">
        <f t="shared" si="29"/>
        <v/>
      </c>
      <c r="E372" s="152"/>
      <c r="F372" s="141" t="str">
        <f t="shared" si="30"/>
        <v/>
      </c>
      <c r="G372" s="156"/>
      <c r="H372" s="156"/>
      <c r="I372" s="156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dio'!#REF!,'Opći dio'!#REF!,10,FALSE))</f>
        <v/>
      </c>
      <c r="B373" s="142" t="str">
        <f>IF(E373="","",VLOOKUP('Opći dio'!#REF!,'Opći dio'!#REF!,9,FALSE))</f>
        <v/>
      </c>
      <c r="C373" s="160" t="str">
        <f t="shared" si="28"/>
        <v/>
      </c>
      <c r="D373" s="140" t="str">
        <f t="shared" si="29"/>
        <v/>
      </c>
      <c r="E373" s="152"/>
      <c r="F373" s="141" t="str">
        <f t="shared" si="30"/>
        <v/>
      </c>
      <c r="G373" s="156"/>
      <c r="H373" s="156"/>
      <c r="I373" s="156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dio'!#REF!,'Opći dio'!#REF!,10,FALSE))</f>
        <v/>
      </c>
      <c r="B374" s="142" t="str">
        <f>IF(E374="","",VLOOKUP('Opći dio'!#REF!,'Opći dio'!#REF!,9,FALSE))</f>
        <v/>
      </c>
      <c r="C374" s="160" t="str">
        <f t="shared" si="28"/>
        <v/>
      </c>
      <c r="D374" s="140" t="str">
        <f t="shared" si="29"/>
        <v/>
      </c>
      <c r="E374" s="152"/>
      <c r="F374" s="141" t="str">
        <f t="shared" si="30"/>
        <v/>
      </c>
      <c r="G374" s="156"/>
      <c r="H374" s="156"/>
      <c r="I374" s="156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dio'!#REF!,'Opći dio'!#REF!,10,FALSE))</f>
        <v/>
      </c>
      <c r="B375" s="142" t="str">
        <f>IF(E375="","",VLOOKUP('Opći dio'!#REF!,'Opći dio'!#REF!,9,FALSE))</f>
        <v/>
      </c>
      <c r="C375" s="160" t="str">
        <f t="shared" si="28"/>
        <v/>
      </c>
      <c r="D375" s="140" t="str">
        <f t="shared" si="29"/>
        <v/>
      </c>
      <c r="E375" s="152"/>
      <c r="F375" s="141" t="str">
        <f t="shared" si="30"/>
        <v/>
      </c>
      <c r="G375" s="156"/>
      <c r="H375" s="156"/>
      <c r="I375" s="156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dio'!#REF!,'Opći dio'!#REF!,10,FALSE))</f>
        <v/>
      </c>
      <c r="B376" s="142" t="str">
        <f>IF(E376="","",VLOOKUP('Opći dio'!#REF!,'Opći dio'!#REF!,9,FALSE))</f>
        <v/>
      </c>
      <c r="C376" s="160" t="str">
        <f t="shared" si="28"/>
        <v/>
      </c>
      <c r="D376" s="140" t="str">
        <f t="shared" si="29"/>
        <v/>
      </c>
      <c r="E376" s="152"/>
      <c r="F376" s="141" t="str">
        <f t="shared" si="30"/>
        <v/>
      </c>
      <c r="G376" s="156"/>
      <c r="H376" s="156"/>
      <c r="I376" s="156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dio'!#REF!,'Opći dio'!#REF!,10,FALSE))</f>
        <v/>
      </c>
      <c r="B377" s="142" t="str">
        <f>IF(E377="","",VLOOKUP('Opći dio'!#REF!,'Opći dio'!#REF!,9,FALSE))</f>
        <v/>
      </c>
      <c r="C377" s="160" t="str">
        <f t="shared" si="28"/>
        <v/>
      </c>
      <c r="D377" s="140" t="str">
        <f t="shared" si="29"/>
        <v/>
      </c>
      <c r="E377" s="152"/>
      <c r="F377" s="141" t="str">
        <f t="shared" si="30"/>
        <v/>
      </c>
      <c r="G377" s="156"/>
      <c r="H377" s="156"/>
      <c r="I377" s="156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dio'!#REF!,'Opći dio'!#REF!,10,FALSE))</f>
        <v/>
      </c>
      <c r="B378" s="142" t="str">
        <f>IF(E378="","",VLOOKUP('Opći dio'!#REF!,'Opći dio'!#REF!,9,FALSE))</f>
        <v/>
      </c>
      <c r="C378" s="160" t="str">
        <f t="shared" si="28"/>
        <v/>
      </c>
      <c r="D378" s="140" t="str">
        <f t="shared" si="29"/>
        <v/>
      </c>
      <c r="E378" s="152"/>
      <c r="F378" s="141" t="str">
        <f t="shared" si="30"/>
        <v/>
      </c>
      <c r="G378" s="156"/>
      <c r="H378" s="156"/>
      <c r="I378" s="156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dio'!#REF!,'Opći dio'!#REF!,10,FALSE))</f>
        <v/>
      </c>
      <c r="B379" s="142" t="str">
        <f>IF(E379="","",VLOOKUP('Opći dio'!#REF!,'Opći dio'!#REF!,9,FALSE))</f>
        <v/>
      </c>
      <c r="C379" s="160" t="str">
        <f t="shared" si="28"/>
        <v/>
      </c>
      <c r="D379" s="140" t="str">
        <f t="shared" si="29"/>
        <v/>
      </c>
      <c r="E379" s="152"/>
      <c r="F379" s="141" t="str">
        <f t="shared" si="30"/>
        <v/>
      </c>
      <c r="G379" s="156"/>
      <c r="H379" s="156"/>
      <c r="I379" s="156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dio'!#REF!,'Opći dio'!#REF!,10,FALSE))</f>
        <v/>
      </c>
      <c r="B380" s="142" t="str">
        <f>IF(E380="","",VLOOKUP('Opći dio'!#REF!,'Opći dio'!#REF!,9,FALSE))</f>
        <v/>
      </c>
      <c r="C380" s="160" t="str">
        <f t="shared" si="28"/>
        <v/>
      </c>
      <c r="D380" s="140" t="str">
        <f t="shared" si="29"/>
        <v/>
      </c>
      <c r="E380" s="152"/>
      <c r="F380" s="141" t="str">
        <f t="shared" si="30"/>
        <v/>
      </c>
      <c r="G380" s="156"/>
      <c r="H380" s="156"/>
      <c r="I380" s="156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dio'!#REF!,'Opći dio'!#REF!,10,FALSE))</f>
        <v/>
      </c>
      <c r="B381" s="142" t="str">
        <f>IF(E381="","",VLOOKUP('Opći dio'!#REF!,'Opći dio'!#REF!,9,FALSE))</f>
        <v/>
      </c>
      <c r="C381" s="160" t="str">
        <f t="shared" si="28"/>
        <v/>
      </c>
      <c r="D381" s="140" t="str">
        <f t="shared" si="29"/>
        <v/>
      </c>
      <c r="E381" s="152"/>
      <c r="F381" s="141" t="str">
        <f t="shared" si="30"/>
        <v/>
      </c>
      <c r="G381" s="156"/>
      <c r="H381" s="156"/>
      <c r="I381" s="156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dio'!#REF!,'Opći dio'!#REF!,10,FALSE))</f>
        <v/>
      </c>
      <c r="B382" s="142" t="str">
        <f>IF(E382="","",VLOOKUP('Opći dio'!#REF!,'Opći dio'!#REF!,9,FALSE))</f>
        <v/>
      </c>
      <c r="C382" s="160" t="str">
        <f t="shared" si="28"/>
        <v/>
      </c>
      <c r="D382" s="140" t="str">
        <f t="shared" si="29"/>
        <v/>
      </c>
      <c r="E382" s="152"/>
      <c r="F382" s="141" t="str">
        <f t="shared" si="30"/>
        <v/>
      </c>
      <c r="G382" s="156"/>
      <c r="H382" s="156"/>
      <c r="I382" s="156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dio'!#REF!,'Opći dio'!#REF!,10,FALSE))</f>
        <v/>
      </c>
      <c r="B383" s="142" t="str">
        <f>IF(E383="","",VLOOKUP('Opći dio'!#REF!,'Opći dio'!#REF!,9,FALSE))</f>
        <v/>
      </c>
      <c r="C383" s="160" t="str">
        <f t="shared" si="28"/>
        <v/>
      </c>
      <c r="D383" s="140" t="str">
        <f t="shared" si="29"/>
        <v/>
      </c>
      <c r="E383" s="152"/>
      <c r="F383" s="141" t="str">
        <f t="shared" si="30"/>
        <v/>
      </c>
      <c r="G383" s="156"/>
      <c r="H383" s="156"/>
      <c r="I383" s="156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dio'!#REF!,'Opći dio'!#REF!,10,FALSE))</f>
        <v/>
      </c>
      <c r="B384" s="142" t="str">
        <f>IF(E384="","",VLOOKUP('Opći dio'!#REF!,'Opći dio'!#REF!,9,FALSE))</f>
        <v/>
      </c>
      <c r="C384" s="160" t="str">
        <f t="shared" si="28"/>
        <v/>
      </c>
      <c r="D384" s="140" t="str">
        <f t="shared" si="29"/>
        <v/>
      </c>
      <c r="E384" s="152"/>
      <c r="F384" s="141" t="str">
        <f t="shared" si="30"/>
        <v/>
      </c>
      <c r="G384" s="156"/>
      <c r="H384" s="156"/>
      <c r="I384" s="156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dio'!#REF!,'Opći dio'!#REF!,10,FALSE))</f>
        <v/>
      </c>
      <c r="B385" s="142" t="str">
        <f>IF(E385="","",VLOOKUP('Opći dio'!#REF!,'Opći dio'!#REF!,9,FALSE))</f>
        <v/>
      </c>
      <c r="C385" s="160" t="str">
        <f t="shared" si="28"/>
        <v/>
      </c>
      <c r="D385" s="140" t="str">
        <f t="shared" si="29"/>
        <v/>
      </c>
      <c r="E385" s="152"/>
      <c r="F385" s="141" t="str">
        <f t="shared" si="30"/>
        <v/>
      </c>
      <c r="G385" s="156"/>
      <c r="H385" s="156"/>
      <c r="I385" s="156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dio'!#REF!,'Opći dio'!#REF!,10,FALSE))</f>
        <v/>
      </c>
      <c r="B386" s="142" t="str">
        <f>IF(E386="","",VLOOKUP('Opći dio'!#REF!,'Opći dio'!#REF!,9,FALSE))</f>
        <v/>
      </c>
      <c r="C386" s="160" t="str">
        <f t="shared" si="28"/>
        <v/>
      </c>
      <c r="D386" s="140" t="str">
        <f t="shared" si="29"/>
        <v/>
      </c>
      <c r="E386" s="152"/>
      <c r="F386" s="141" t="str">
        <f t="shared" si="30"/>
        <v/>
      </c>
      <c r="G386" s="156"/>
      <c r="H386" s="156"/>
      <c r="I386" s="156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dio'!#REF!,'Opći dio'!#REF!,10,FALSE))</f>
        <v/>
      </c>
      <c r="B387" s="142" t="str">
        <f>IF(E387="","",VLOOKUP('Opći dio'!#REF!,'Opći dio'!#REF!,9,FALSE))</f>
        <v/>
      </c>
      <c r="C387" s="160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2"/>
      <c r="F387" s="141" t="str">
        <f t="shared" ref="F387:F450" si="35">IFERROR(VLOOKUP(E387,$R$6:$U$73,2,FALSE),"")</f>
        <v/>
      </c>
      <c r="G387" s="156"/>
      <c r="H387" s="156"/>
      <c r="I387" s="156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dio'!#REF!,'Opći dio'!#REF!,10,FALSE))</f>
        <v/>
      </c>
      <c r="B388" s="142" t="str">
        <f>IF(E388="","",VLOOKUP('Opći dio'!#REF!,'Opći dio'!#REF!,9,FALSE))</f>
        <v/>
      </c>
      <c r="C388" s="160" t="str">
        <f t="shared" si="33"/>
        <v/>
      </c>
      <c r="D388" s="140" t="str">
        <f t="shared" si="34"/>
        <v/>
      </c>
      <c r="E388" s="152"/>
      <c r="F388" s="141" t="str">
        <f t="shared" si="35"/>
        <v/>
      </c>
      <c r="G388" s="156"/>
      <c r="H388" s="156"/>
      <c r="I388" s="156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dio'!#REF!,'Opći dio'!#REF!,10,FALSE))</f>
        <v/>
      </c>
      <c r="B389" s="142" t="str">
        <f>IF(E389="","",VLOOKUP('Opći dio'!#REF!,'Opći dio'!#REF!,9,FALSE))</f>
        <v/>
      </c>
      <c r="C389" s="160" t="str">
        <f t="shared" si="33"/>
        <v/>
      </c>
      <c r="D389" s="140" t="str">
        <f t="shared" si="34"/>
        <v/>
      </c>
      <c r="E389" s="152"/>
      <c r="F389" s="141" t="str">
        <f t="shared" si="35"/>
        <v/>
      </c>
      <c r="G389" s="156"/>
      <c r="H389" s="156"/>
      <c r="I389" s="156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dio'!#REF!,'Opći dio'!#REF!,10,FALSE))</f>
        <v/>
      </c>
      <c r="B390" s="142" t="str">
        <f>IF(E390="","",VLOOKUP('Opći dio'!#REF!,'Opći dio'!#REF!,9,FALSE))</f>
        <v/>
      </c>
      <c r="C390" s="160" t="str">
        <f t="shared" si="33"/>
        <v/>
      </c>
      <c r="D390" s="140" t="str">
        <f t="shared" si="34"/>
        <v/>
      </c>
      <c r="E390" s="152"/>
      <c r="F390" s="141" t="str">
        <f t="shared" si="35"/>
        <v/>
      </c>
      <c r="G390" s="156"/>
      <c r="H390" s="156"/>
      <c r="I390" s="156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dio'!#REF!,'Opći dio'!#REF!,10,FALSE))</f>
        <v/>
      </c>
      <c r="B391" s="142" t="str">
        <f>IF(E391="","",VLOOKUP('Opći dio'!#REF!,'Opći dio'!#REF!,9,FALSE))</f>
        <v/>
      </c>
      <c r="C391" s="160" t="str">
        <f t="shared" si="33"/>
        <v/>
      </c>
      <c r="D391" s="140" t="str">
        <f t="shared" si="34"/>
        <v/>
      </c>
      <c r="E391" s="152"/>
      <c r="F391" s="141" t="str">
        <f t="shared" si="35"/>
        <v/>
      </c>
      <c r="G391" s="156"/>
      <c r="H391" s="156"/>
      <c r="I391" s="156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dio'!#REF!,'Opći dio'!#REF!,10,FALSE))</f>
        <v/>
      </c>
      <c r="B392" s="142" t="str">
        <f>IF(E392="","",VLOOKUP('Opći dio'!#REF!,'Opći dio'!#REF!,9,FALSE))</f>
        <v/>
      </c>
      <c r="C392" s="160" t="str">
        <f t="shared" si="33"/>
        <v/>
      </c>
      <c r="D392" s="140" t="str">
        <f t="shared" si="34"/>
        <v/>
      </c>
      <c r="E392" s="152"/>
      <c r="F392" s="141" t="str">
        <f t="shared" si="35"/>
        <v/>
      </c>
      <c r="G392" s="156"/>
      <c r="H392" s="156"/>
      <c r="I392" s="156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dio'!#REF!,'Opći dio'!#REF!,10,FALSE))</f>
        <v/>
      </c>
      <c r="B393" s="142" t="str">
        <f>IF(E393="","",VLOOKUP('Opći dio'!#REF!,'Opći dio'!#REF!,9,FALSE))</f>
        <v/>
      </c>
      <c r="C393" s="160" t="str">
        <f t="shared" si="33"/>
        <v/>
      </c>
      <c r="D393" s="140" t="str">
        <f t="shared" si="34"/>
        <v/>
      </c>
      <c r="E393" s="152"/>
      <c r="F393" s="141" t="str">
        <f t="shared" si="35"/>
        <v/>
      </c>
      <c r="G393" s="156"/>
      <c r="H393" s="156"/>
      <c r="I393" s="156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dio'!#REF!,'Opći dio'!#REF!,10,FALSE))</f>
        <v/>
      </c>
      <c r="B394" s="142" t="str">
        <f>IF(E394="","",VLOOKUP('Opći dio'!#REF!,'Opći dio'!#REF!,9,FALSE))</f>
        <v/>
      </c>
      <c r="C394" s="160" t="str">
        <f t="shared" si="33"/>
        <v/>
      </c>
      <c r="D394" s="140" t="str">
        <f t="shared" si="34"/>
        <v/>
      </c>
      <c r="E394" s="152"/>
      <c r="F394" s="141" t="str">
        <f t="shared" si="35"/>
        <v/>
      </c>
      <c r="G394" s="156"/>
      <c r="H394" s="156"/>
      <c r="I394" s="156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dio'!#REF!,'Opći dio'!#REF!,10,FALSE))</f>
        <v/>
      </c>
      <c r="B395" s="142" t="str">
        <f>IF(E395="","",VLOOKUP('Opći dio'!#REF!,'Opći dio'!#REF!,9,FALSE))</f>
        <v/>
      </c>
      <c r="C395" s="160" t="str">
        <f t="shared" si="33"/>
        <v/>
      </c>
      <c r="D395" s="140" t="str">
        <f t="shared" si="34"/>
        <v/>
      </c>
      <c r="E395" s="152"/>
      <c r="F395" s="141" t="str">
        <f t="shared" si="35"/>
        <v/>
      </c>
      <c r="G395" s="156"/>
      <c r="H395" s="156"/>
      <c r="I395" s="156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dio'!#REF!,'Opći dio'!#REF!,10,FALSE))</f>
        <v/>
      </c>
      <c r="B396" s="142" t="str">
        <f>IF(E396="","",VLOOKUP('Opći dio'!#REF!,'Opći dio'!#REF!,9,FALSE))</f>
        <v/>
      </c>
      <c r="C396" s="160" t="str">
        <f t="shared" si="33"/>
        <v/>
      </c>
      <c r="D396" s="140" t="str">
        <f t="shared" si="34"/>
        <v/>
      </c>
      <c r="E396" s="152"/>
      <c r="F396" s="141" t="str">
        <f t="shared" si="35"/>
        <v/>
      </c>
      <c r="G396" s="156"/>
      <c r="H396" s="156"/>
      <c r="I396" s="156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dio'!#REF!,'Opći dio'!#REF!,10,FALSE))</f>
        <v/>
      </c>
      <c r="B397" s="142" t="str">
        <f>IF(E397="","",VLOOKUP('Opći dio'!#REF!,'Opći dio'!#REF!,9,FALSE))</f>
        <v/>
      </c>
      <c r="C397" s="160" t="str">
        <f t="shared" si="33"/>
        <v/>
      </c>
      <c r="D397" s="140" t="str">
        <f t="shared" si="34"/>
        <v/>
      </c>
      <c r="E397" s="152"/>
      <c r="F397" s="141" t="str">
        <f t="shared" si="35"/>
        <v/>
      </c>
      <c r="G397" s="156"/>
      <c r="H397" s="156"/>
      <c r="I397" s="156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dio'!#REF!,'Opći dio'!#REF!,10,FALSE))</f>
        <v/>
      </c>
      <c r="B398" s="142" t="str">
        <f>IF(E398="","",VLOOKUP('Opći dio'!#REF!,'Opći dio'!#REF!,9,FALSE))</f>
        <v/>
      </c>
      <c r="C398" s="160" t="str">
        <f t="shared" si="33"/>
        <v/>
      </c>
      <c r="D398" s="140" t="str">
        <f t="shared" si="34"/>
        <v/>
      </c>
      <c r="E398" s="152"/>
      <c r="F398" s="141" t="str">
        <f t="shared" si="35"/>
        <v/>
      </c>
      <c r="G398" s="156"/>
      <c r="H398" s="156"/>
      <c r="I398" s="156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dio'!#REF!,'Opći dio'!#REF!,10,FALSE))</f>
        <v/>
      </c>
      <c r="B399" s="142" t="str">
        <f>IF(E399="","",VLOOKUP('Opći dio'!#REF!,'Opći dio'!#REF!,9,FALSE))</f>
        <v/>
      </c>
      <c r="C399" s="160" t="str">
        <f t="shared" si="33"/>
        <v/>
      </c>
      <c r="D399" s="140" t="str">
        <f t="shared" si="34"/>
        <v/>
      </c>
      <c r="E399" s="152"/>
      <c r="F399" s="141" t="str">
        <f t="shared" si="35"/>
        <v/>
      </c>
      <c r="G399" s="156"/>
      <c r="H399" s="156"/>
      <c r="I399" s="156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dio'!#REF!,'Opći dio'!#REF!,10,FALSE))</f>
        <v/>
      </c>
      <c r="B400" s="142" t="str">
        <f>IF(E400="","",VLOOKUP('Opći dio'!#REF!,'Opći dio'!#REF!,9,FALSE))</f>
        <v/>
      </c>
      <c r="C400" s="160" t="str">
        <f t="shared" si="33"/>
        <v/>
      </c>
      <c r="D400" s="140" t="str">
        <f t="shared" si="34"/>
        <v/>
      </c>
      <c r="E400" s="152"/>
      <c r="F400" s="141" t="str">
        <f t="shared" si="35"/>
        <v/>
      </c>
      <c r="G400" s="156"/>
      <c r="H400" s="156"/>
      <c r="I400" s="156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dio'!#REF!,'Opći dio'!#REF!,10,FALSE))</f>
        <v/>
      </c>
      <c r="B401" s="142" t="str">
        <f>IF(E401="","",VLOOKUP('Opći dio'!#REF!,'Opći dio'!#REF!,9,FALSE))</f>
        <v/>
      </c>
      <c r="C401" s="160" t="str">
        <f t="shared" si="33"/>
        <v/>
      </c>
      <c r="D401" s="140" t="str">
        <f t="shared" si="34"/>
        <v/>
      </c>
      <c r="E401" s="152"/>
      <c r="F401" s="141" t="str">
        <f t="shared" si="35"/>
        <v/>
      </c>
      <c r="G401" s="156"/>
      <c r="H401" s="156"/>
      <c r="I401" s="156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dio'!#REF!,'Opći dio'!#REF!,10,FALSE))</f>
        <v/>
      </c>
      <c r="B402" s="142" t="str">
        <f>IF(E402="","",VLOOKUP('Opći dio'!#REF!,'Opći dio'!#REF!,9,FALSE))</f>
        <v/>
      </c>
      <c r="C402" s="160" t="str">
        <f t="shared" si="33"/>
        <v/>
      </c>
      <c r="D402" s="140" t="str">
        <f t="shared" si="34"/>
        <v/>
      </c>
      <c r="E402" s="152"/>
      <c r="F402" s="141" t="str">
        <f t="shared" si="35"/>
        <v/>
      </c>
      <c r="G402" s="156"/>
      <c r="H402" s="156"/>
      <c r="I402" s="156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dio'!#REF!,'Opći dio'!#REF!,10,FALSE))</f>
        <v/>
      </c>
      <c r="B403" s="142" t="str">
        <f>IF(E403="","",VLOOKUP('Opći dio'!#REF!,'Opći dio'!#REF!,9,FALSE))</f>
        <v/>
      </c>
      <c r="C403" s="160" t="str">
        <f t="shared" si="33"/>
        <v/>
      </c>
      <c r="D403" s="140" t="str">
        <f t="shared" si="34"/>
        <v/>
      </c>
      <c r="E403" s="152"/>
      <c r="F403" s="141" t="str">
        <f t="shared" si="35"/>
        <v/>
      </c>
      <c r="G403" s="156"/>
      <c r="H403" s="156"/>
      <c r="I403" s="156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dio'!#REF!,'Opći dio'!#REF!,10,FALSE))</f>
        <v/>
      </c>
      <c r="B404" s="142" t="str">
        <f>IF(E404="","",VLOOKUP('Opći dio'!#REF!,'Opći dio'!#REF!,9,FALSE))</f>
        <v/>
      </c>
      <c r="C404" s="160" t="str">
        <f t="shared" si="33"/>
        <v/>
      </c>
      <c r="D404" s="140" t="str">
        <f t="shared" si="34"/>
        <v/>
      </c>
      <c r="E404" s="152"/>
      <c r="F404" s="141" t="str">
        <f t="shared" si="35"/>
        <v/>
      </c>
      <c r="G404" s="156"/>
      <c r="H404" s="156"/>
      <c r="I404" s="156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dio'!#REF!,'Opći dio'!#REF!,10,FALSE))</f>
        <v/>
      </c>
      <c r="B405" s="142" t="str">
        <f>IF(E405="","",VLOOKUP('Opći dio'!#REF!,'Opći dio'!#REF!,9,FALSE))</f>
        <v/>
      </c>
      <c r="C405" s="160" t="str">
        <f t="shared" si="33"/>
        <v/>
      </c>
      <c r="D405" s="140" t="str">
        <f t="shared" si="34"/>
        <v/>
      </c>
      <c r="E405" s="152"/>
      <c r="F405" s="141" t="str">
        <f t="shared" si="35"/>
        <v/>
      </c>
      <c r="G405" s="156"/>
      <c r="H405" s="156"/>
      <c r="I405" s="156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dio'!#REF!,'Opći dio'!#REF!,10,FALSE))</f>
        <v/>
      </c>
      <c r="B406" s="142" t="str">
        <f>IF(E406="","",VLOOKUP('Opći dio'!#REF!,'Opći dio'!#REF!,9,FALSE))</f>
        <v/>
      </c>
      <c r="C406" s="160" t="str">
        <f t="shared" si="33"/>
        <v/>
      </c>
      <c r="D406" s="140" t="str">
        <f t="shared" si="34"/>
        <v/>
      </c>
      <c r="E406" s="152"/>
      <c r="F406" s="141" t="str">
        <f t="shared" si="35"/>
        <v/>
      </c>
      <c r="G406" s="156"/>
      <c r="H406" s="156"/>
      <c r="I406" s="156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dio'!#REF!,'Opći dio'!#REF!,10,FALSE))</f>
        <v/>
      </c>
      <c r="B407" s="142" t="str">
        <f>IF(E407="","",VLOOKUP('Opći dio'!#REF!,'Opći dio'!#REF!,9,FALSE))</f>
        <v/>
      </c>
      <c r="C407" s="160" t="str">
        <f t="shared" si="33"/>
        <v/>
      </c>
      <c r="D407" s="140" t="str">
        <f t="shared" si="34"/>
        <v/>
      </c>
      <c r="E407" s="152"/>
      <c r="F407" s="141" t="str">
        <f t="shared" si="35"/>
        <v/>
      </c>
      <c r="G407" s="156"/>
      <c r="H407" s="156"/>
      <c r="I407" s="156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dio'!#REF!,'Opći dio'!#REF!,10,FALSE))</f>
        <v/>
      </c>
      <c r="B408" s="142" t="str">
        <f>IF(E408="","",VLOOKUP('Opći dio'!#REF!,'Opći dio'!#REF!,9,FALSE))</f>
        <v/>
      </c>
      <c r="C408" s="160" t="str">
        <f t="shared" si="33"/>
        <v/>
      </c>
      <c r="D408" s="140" t="str">
        <f t="shared" si="34"/>
        <v/>
      </c>
      <c r="E408" s="152"/>
      <c r="F408" s="141" t="str">
        <f t="shared" si="35"/>
        <v/>
      </c>
      <c r="G408" s="156"/>
      <c r="H408" s="156"/>
      <c r="I408" s="156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dio'!#REF!,'Opći dio'!#REF!,10,FALSE))</f>
        <v/>
      </c>
      <c r="B409" s="142" t="str">
        <f>IF(E409="","",VLOOKUP('Opći dio'!#REF!,'Opći dio'!#REF!,9,FALSE))</f>
        <v/>
      </c>
      <c r="C409" s="160" t="str">
        <f t="shared" si="33"/>
        <v/>
      </c>
      <c r="D409" s="140" t="str">
        <f t="shared" si="34"/>
        <v/>
      </c>
      <c r="E409" s="152"/>
      <c r="F409" s="141" t="str">
        <f t="shared" si="35"/>
        <v/>
      </c>
      <c r="G409" s="156"/>
      <c r="H409" s="156"/>
      <c r="I409" s="156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dio'!#REF!,'Opći dio'!#REF!,10,FALSE))</f>
        <v/>
      </c>
      <c r="B410" s="142" t="str">
        <f>IF(E410="","",VLOOKUP('Opći dio'!#REF!,'Opći dio'!#REF!,9,FALSE))</f>
        <v/>
      </c>
      <c r="C410" s="160" t="str">
        <f t="shared" si="33"/>
        <v/>
      </c>
      <c r="D410" s="140" t="str">
        <f t="shared" si="34"/>
        <v/>
      </c>
      <c r="E410" s="152"/>
      <c r="F410" s="141" t="str">
        <f t="shared" si="35"/>
        <v/>
      </c>
      <c r="G410" s="156"/>
      <c r="H410" s="156"/>
      <c r="I410" s="156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dio'!#REF!,'Opći dio'!#REF!,10,FALSE))</f>
        <v/>
      </c>
      <c r="B411" s="142" t="str">
        <f>IF(E411="","",VLOOKUP('Opći dio'!#REF!,'Opći dio'!#REF!,9,FALSE))</f>
        <v/>
      </c>
      <c r="C411" s="160" t="str">
        <f t="shared" si="33"/>
        <v/>
      </c>
      <c r="D411" s="140" t="str">
        <f t="shared" si="34"/>
        <v/>
      </c>
      <c r="E411" s="152"/>
      <c r="F411" s="141" t="str">
        <f t="shared" si="35"/>
        <v/>
      </c>
      <c r="G411" s="156"/>
      <c r="H411" s="156"/>
      <c r="I411" s="156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dio'!#REF!,'Opći dio'!#REF!,10,FALSE))</f>
        <v/>
      </c>
      <c r="B412" s="142" t="str">
        <f>IF(E412="","",VLOOKUP('Opći dio'!#REF!,'Opći dio'!#REF!,9,FALSE))</f>
        <v/>
      </c>
      <c r="C412" s="160" t="str">
        <f t="shared" si="33"/>
        <v/>
      </c>
      <c r="D412" s="140" t="str">
        <f t="shared" si="34"/>
        <v/>
      </c>
      <c r="E412" s="152"/>
      <c r="F412" s="141" t="str">
        <f t="shared" si="35"/>
        <v/>
      </c>
      <c r="G412" s="156"/>
      <c r="H412" s="156"/>
      <c r="I412" s="156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dio'!#REF!,'Opći dio'!#REF!,10,FALSE))</f>
        <v/>
      </c>
      <c r="B413" s="142" t="str">
        <f>IF(E413="","",VLOOKUP('Opći dio'!#REF!,'Opći dio'!#REF!,9,FALSE))</f>
        <v/>
      </c>
      <c r="C413" s="160" t="str">
        <f t="shared" si="33"/>
        <v/>
      </c>
      <c r="D413" s="140" t="str">
        <f t="shared" si="34"/>
        <v/>
      </c>
      <c r="E413" s="152"/>
      <c r="F413" s="141" t="str">
        <f t="shared" si="35"/>
        <v/>
      </c>
      <c r="G413" s="156"/>
      <c r="H413" s="156"/>
      <c r="I413" s="156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dio'!#REF!,'Opći dio'!#REF!,10,FALSE))</f>
        <v/>
      </c>
      <c r="B414" s="142" t="str">
        <f>IF(E414="","",VLOOKUP('Opći dio'!#REF!,'Opći dio'!#REF!,9,FALSE))</f>
        <v/>
      </c>
      <c r="C414" s="160" t="str">
        <f t="shared" si="33"/>
        <v/>
      </c>
      <c r="D414" s="140" t="str">
        <f t="shared" si="34"/>
        <v/>
      </c>
      <c r="E414" s="152"/>
      <c r="F414" s="141" t="str">
        <f t="shared" si="35"/>
        <v/>
      </c>
      <c r="G414" s="156"/>
      <c r="H414" s="156"/>
      <c r="I414" s="156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dio'!#REF!,'Opći dio'!#REF!,10,FALSE))</f>
        <v/>
      </c>
      <c r="B415" s="142" t="str">
        <f>IF(E415="","",VLOOKUP('Opći dio'!#REF!,'Opći dio'!#REF!,9,FALSE))</f>
        <v/>
      </c>
      <c r="C415" s="160" t="str">
        <f t="shared" si="33"/>
        <v/>
      </c>
      <c r="D415" s="140" t="str">
        <f t="shared" si="34"/>
        <v/>
      </c>
      <c r="E415" s="152"/>
      <c r="F415" s="141" t="str">
        <f t="shared" si="35"/>
        <v/>
      </c>
      <c r="G415" s="156"/>
      <c r="H415" s="156"/>
      <c r="I415" s="156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dio'!#REF!,'Opći dio'!#REF!,10,FALSE))</f>
        <v/>
      </c>
      <c r="B416" s="142" t="str">
        <f>IF(E416="","",VLOOKUP('Opći dio'!#REF!,'Opći dio'!#REF!,9,FALSE))</f>
        <v/>
      </c>
      <c r="C416" s="160" t="str">
        <f t="shared" si="33"/>
        <v/>
      </c>
      <c r="D416" s="140" t="str">
        <f t="shared" si="34"/>
        <v/>
      </c>
      <c r="E416" s="152"/>
      <c r="F416" s="141" t="str">
        <f t="shared" si="35"/>
        <v/>
      </c>
      <c r="G416" s="156"/>
      <c r="H416" s="156"/>
      <c r="I416" s="156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dio'!#REF!,'Opći dio'!#REF!,10,FALSE))</f>
        <v/>
      </c>
      <c r="B417" s="142" t="str">
        <f>IF(E417="","",VLOOKUP('Opći dio'!#REF!,'Opći dio'!#REF!,9,FALSE))</f>
        <v/>
      </c>
      <c r="C417" s="160" t="str">
        <f t="shared" si="33"/>
        <v/>
      </c>
      <c r="D417" s="140" t="str">
        <f t="shared" si="34"/>
        <v/>
      </c>
      <c r="E417" s="152"/>
      <c r="F417" s="141" t="str">
        <f t="shared" si="35"/>
        <v/>
      </c>
      <c r="G417" s="156"/>
      <c r="H417" s="156"/>
      <c r="I417" s="156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dio'!#REF!,'Opći dio'!#REF!,10,FALSE))</f>
        <v/>
      </c>
      <c r="B418" s="142" t="str">
        <f>IF(E418="","",VLOOKUP('Opći dio'!#REF!,'Opći dio'!#REF!,9,FALSE))</f>
        <v/>
      </c>
      <c r="C418" s="160" t="str">
        <f t="shared" si="33"/>
        <v/>
      </c>
      <c r="D418" s="140" t="str">
        <f t="shared" si="34"/>
        <v/>
      </c>
      <c r="E418" s="152"/>
      <c r="F418" s="141" t="str">
        <f t="shared" si="35"/>
        <v/>
      </c>
      <c r="G418" s="156"/>
      <c r="H418" s="156"/>
      <c r="I418" s="156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dio'!#REF!,'Opći dio'!#REF!,10,FALSE))</f>
        <v/>
      </c>
      <c r="B419" s="142" t="str">
        <f>IF(E419="","",VLOOKUP('Opći dio'!#REF!,'Opći dio'!#REF!,9,FALSE))</f>
        <v/>
      </c>
      <c r="C419" s="160" t="str">
        <f t="shared" si="33"/>
        <v/>
      </c>
      <c r="D419" s="140" t="str">
        <f t="shared" si="34"/>
        <v/>
      </c>
      <c r="E419" s="152"/>
      <c r="F419" s="141" t="str">
        <f t="shared" si="35"/>
        <v/>
      </c>
      <c r="G419" s="156"/>
      <c r="H419" s="156"/>
      <c r="I419" s="156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dio'!#REF!,'Opći dio'!#REF!,10,FALSE))</f>
        <v/>
      </c>
      <c r="B420" s="142" t="str">
        <f>IF(E420="","",VLOOKUP('Opći dio'!#REF!,'Opći dio'!#REF!,9,FALSE))</f>
        <v/>
      </c>
      <c r="C420" s="160" t="str">
        <f t="shared" si="33"/>
        <v/>
      </c>
      <c r="D420" s="140" t="str">
        <f t="shared" si="34"/>
        <v/>
      </c>
      <c r="E420" s="152"/>
      <c r="F420" s="141" t="str">
        <f t="shared" si="35"/>
        <v/>
      </c>
      <c r="G420" s="156"/>
      <c r="H420" s="156"/>
      <c r="I420" s="156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dio'!#REF!,'Opći dio'!#REF!,10,FALSE))</f>
        <v/>
      </c>
      <c r="B421" s="142" t="str">
        <f>IF(E421="","",VLOOKUP('Opći dio'!#REF!,'Opći dio'!#REF!,9,FALSE))</f>
        <v/>
      </c>
      <c r="C421" s="160" t="str">
        <f t="shared" si="33"/>
        <v/>
      </c>
      <c r="D421" s="140" t="str">
        <f t="shared" si="34"/>
        <v/>
      </c>
      <c r="E421" s="152"/>
      <c r="F421" s="141" t="str">
        <f t="shared" si="35"/>
        <v/>
      </c>
      <c r="G421" s="156"/>
      <c r="H421" s="156"/>
      <c r="I421" s="156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dio'!#REF!,'Opći dio'!#REF!,10,FALSE))</f>
        <v/>
      </c>
      <c r="B422" s="142" t="str">
        <f>IF(E422="","",VLOOKUP('Opći dio'!#REF!,'Opći dio'!#REF!,9,FALSE))</f>
        <v/>
      </c>
      <c r="C422" s="160" t="str">
        <f t="shared" si="33"/>
        <v/>
      </c>
      <c r="D422" s="140" t="str">
        <f t="shared" si="34"/>
        <v/>
      </c>
      <c r="E422" s="152"/>
      <c r="F422" s="141" t="str">
        <f t="shared" si="35"/>
        <v/>
      </c>
      <c r="G422" s="156"/>
      <c r="H422" s="156"/>
      <c r="I422" s="156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dio'!#REF!,'Opći dio'!#REF!,10,FALSE))</f>
        <v/>
      </c>
      <c r="B423" s="142" t="str">
        <f>IF(E423="","",VLOOKUP('Opći dio'!#REF!,'Opći dio'!#REF!,9,FALSE))</f>
        <v/>
      </c>
      <c r="C423" s="160" t="str">
        <f t="shared" si="33"/>
        <v/>
      </c>
      <c r="D423" s="140" t="str">
        <f t="shared" si="34"/>
        <v/>
      </c>
      <c r="E423" s="152"/>
      <c r="F423" s="141" t="str">
        <f t="shared" si="35"/>
        <v/>
      </c>
      <c r="G423" s="156"/>
      <c r="H423" s="156"/>
      <c r="I423" s="156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dio'!#REF!,'Opći dio'!#REF!,10,FALSE))</f>
        <v/>
      </c>
      <c r="B424" s="142" t="str">
        <f>IF(E424="","",VLOOKUP('Opći dio'!#REF!,'Opći dio'!#REF!,9,FALSE))</f>
        <v/>
      </c>
      <c r="C424" s="160" t="str">
        <f t="shared" si="33"/>
        <v/>
      </c>
      <c r="D424" s="140" t="str">
        <f t="shared" si="34"/>
        <v/>
      </c>
      <c r="E424" s="152"/>
      <c r="F424" s="141" t="str">
        <f t="shared" si="35"/>
        <v/>
      </c>
      <c r="G424" s="156"/>
      <c r="H424" s="156"/>
      <c r="I424" s="156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dio'!#REF!,'Opći dio'!#REF!,10,FALSE))</f>
        <v/>
      </c>
      <c r="B425" s="142" t="str">
        <f>IF(E425="","",VLOOKUP('Opći dio'!#REF!,'Opći dio'!#REF!,9,FALSE))</f>
        <v/>
      </c>
      <c r="C425" s="160" t="str">
        <f t="shared" si="33"/>
        <v/>
      </c>
      <c r="D425" s="140" t="str">
        <f t="shared" si="34"/>
        <v/>
      </c>
      <c r="E425" s="152"/>
      <c r="F425" s="141" t="str">
        <f t="shared" si="35"/>
        <v/>
      </c>
      <c r="G425" s="156"/>
      <c r="H425" s="156"/>
      <c r="I425" s="156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dio'!#REF!,'Opći dio'!#REF!,10,FALSE))</f>
        <v/>
      </c>
      <c r="B426" s="142" t="str">
        <f>IF(E426="","",VLOOKUP('Opći dio'!#REF!,'Opći dio'!#REF!,9,FALSE))</f>
        <v/>
      </c>
      <c r="C426" s="160" t="str">
        <f t="shared" si="33"/>
        <v/>
      </c>
      <c r="D426" s="140" t="str">
        <f t="shared" si="34"/>
        <v/>
      </c>
      <c r="E426" s="152"/>
      <c r="F426" s="141" t="str">
        <f t="shared" si="35"/>
        <v/>
      </c>
      <c r="G426" s="156"/>
      <c r="H426" s="156"/>
      <c r="I426" s="156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dio'!#REF!,'Opći dio'!#REF!,10,FALSE))</f>
        <v/>
      </c>
      <c r="B427" s="142" t="str">
        <f>IF(E427="","",VLOOKUP('Opći dio'!#REF!,'Opći dio'!#REF!,9,FALSE))</f>
        <v/>
      </c>
      <c r="C427" s="160" t="str">
        <f t="shared" si="33"/>
        <v/>
      </c>
      <c r="D427" s="140" t="str">
        <f t="shared" si="34"/>
        <v/>
      </c>
      <c r="E427" s="152"/>
      <c r="F427" s="141" t="str">
        <f t="shared" si="35"/>
        <v/>
      </c>
      <c r="G427" s="156"/>
      <c r="H427" s="156"/>
      <c r="I427" s="156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dio'!#REF!,'Opći dio'!#REF!,10,FALSE))</f>
        <v/>
      </c>
      <c r="B428" s="142" t="str">
        <f>IF(E428="","",VLOOKUP('Opći dio'!#REF!,'Opći dio'!#REF!,9,FALSE))</f>
        <v/>
      </c>
      <c r="C428" s="160" t="str">
        <f t="shared" si="33"/>
        <v/>
      </c>
      <c r="D428" s="140" t="str">
        <f t="shared" si="34"/>
        <v/>
      </c>
      <c r="E428" s="152"/>
      <c r="F428" s="141" t="str">
        <f t="shared" si="35"/>
        <v/>
      </c>
      <c r="G428" s="156"/>
      <c r="H428" s="156"/>
      <c r="I428" s="156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dio'!#REF!,'Opći dio'!#REF!,10,FALSE))</f>
        <v/>
      </c>
      <c r="B429" s="142" t="str">
        <f>IF(E429="","",VLOOKUP('Opći dio'!#REF!,'Opći dio'!#REF!,9,FALSE))</f>
        <v/>
      </c>
      <c r="C429" s="160" t="str">
        <f t="shared" si="33"/>
        <v/>
      </c>
      <c r="D429" s="140" t="str">
        <f t="shared" si="34"/>
        <v/>
      </c>
      <c r="E429" s="152"/>
      <c r="F429" s="141" t="str">
        <f t="shared" si="35"/>
        <v/>
      </c>
      <c r="G429" s="156"/>
      <c r="H429" s="156"/>
      <c r="I429" s="156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dio'!#REF!,'Opći dio'!#REF!,10,FALSE))</f>
        <v/>
      </c>
      <c r="B430" s="142" t="str">
        <f>IF(E430="","",VLOOKUP('Opći dio'!#REF!,'Opći dio'!#REF!,9,FALSE))</f>
        <v/>
      </c>
      <c r="C430" s="160" t="str">
        <f t="shared" si="33"/>
        <v/>
      </c>
      <c r="D430" s="140" t="str">
        <f t="shared" si="34"/>
        <v/>
      </c>
      <c r="E430" s="152"/>
      <c r="F430" s="141" t="str">
        <f t="shared" si="35"/>
        <v/>
      </c>
      <c r="G430" s="156"/>
      <c r="H430" s="156"/>
      <c r="I430" s="156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dio'!#REF!,'Opći dio'!#REF!,10,FALSE))</f>
        <v/>
      </c>
      <c r="B431" s="142" t="str">
        <f>IF(E431="","",VLOOKUP('Opći dio'!#REF!,'Opći dio'!#REF!,9,FALSE))</f>
        <v/>
      </c>
      <c r="C431" s="160" t="str">
        <f t="shared" si="33"/>
        <v/>
      </c>
      <c r="D431" s="140" t="str">
        <f t="shared" si="34"/>
        <v/>
      </c>
      <c r="E431" s="152"/>
      <c r="F431" s="141" t="str">
        <f t="shared" si="35"/>
        <v/>
      </c>
      <c r="G431" s="156"/>
      <c r="H431" s="156"/>
      <c r="I431" s="156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dio'!#REF!,'Opći dio'!#REF!,10,FALSE))</f>
        <v/>
      </c>
      <c r="B432" s="142" t="str">
        <f>IF(E432="","",VLOOKUP('Opći dio'!#REF!,'Opći dio'!#REF!,9,FALSE))</f>
        <v/>
      </c>
      <c r="C432" s="160" t="str">
        <f t="shared" si="33"/>
        <v/>
      </c>
      <c r="D432" s="140" t="str">
        <f t="shared" si="34"/>
        <v/>
      </c>
      <c r="E432" s="152"/>
      <c r="F432" s="141" t="str">
        <f t="shared" si="35"/>
        <v/>
      </c>
      <c r="G432" s="156"/>
      <c r="H432" s="156"/>
      <c r="I432" s="156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dio'!#REF!,'Opći dio'!#REF!,10,FALSE))</f>
        <v/>
      </c>
      <c r="B433" s="142" t="str">
        <f>IF(E433="","",VLOOKUP('Opći dio'!#REF!,'Opći dio'!#REF!,9,FALSE))</f>
        <v/>
      </c>
      <c r="C433" s="160" t="str">
        <f t="shared" si="33"/>
        <v/>
      </c>
      <c r="D433" s="140" t="str">
        <f t="shared" si="34"/>
        <v/>
      </c>
      <c r="E433" s="152"/>
      <c r="F433" s="141" t="str">
        <f t="shared" si="35"/>
        <v/>
      </c>
      <c r="G433" s="156"/>
      <c r="H433" s="156"/>
      <c r="I433" s="156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dio'!#REF!,'Opći dio'!#REF!,10,FALSE))</f>
        <v/>
      </c>
      <c r="B434" s="142" t="str">
        <f>IF(E434="","",VLOOKUP('Opći dio'!#REF!,'Opći dio'!#REF!,9,FALSE))</f>
        <v/>
      </c>
      <c r="C434" s="160" t="str">
        <f t="shared" si="33"/>
        <v/>
      </c>
      <c r="D434" s="140" t="str">
        <f t="shared" si="34"/>
        <v/>
      </c>
      <c r="E434" s="152"/>
      <c r="F434" s="141" t="str">
        <f t="shared" si="35"/>
        <v/>
      </c>
      <c r="G434" s="156"/>
      <c r="H434" s="156"/>
      <c r="I434" s="156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dio'!#REF!,'Opći dio'!#REF!,10,FALSE))</f>
        <v/>
      </c>
      <c r="B435" s="142" t="str">
        <f>IF(E435="","",VLOOKUP('Opći dio'!#REF!,'Opći dio'!#REF!,9,FALSE))</f>
        <v/>
      </c>
      <c r="C435" s="160" t="str">
        <f t="shared" si="33"/>
        <v/>
      </c>
      <c r="D435" s="140" t="str">
        <f t="shared" si="34"/>
        <v/>
      </c>
      <c r="E435" s="152"/>
      <c r="F435" s="141" t="str">
        <f t="shared" si="35"/>
        <v/>
      </c>
      <c r="G435" s="156"/>
      <c r="H435" s="156"/>
      <c r="I435" s="156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dio'!#REF!,'Opći dio'!#REF!,10,FALSE))</f>
        <v/>
      </c>
      <c r="B436" s="142" t="str">
        <f>IF(E436="","",VLOOKUP('Opći dio'!#REF!,'Opći dio'!#REF!,9,FALSE))</f>
        <v/>
      </c>
      <c r="C436" s="160" t="str">
        <f t="shared" si="33"/>
        <v/>
      </c>
      <c r="D436" s="140" t="str">
        <f t="shared" si="34"/>
        <v/>
      </c>
      <c r="E436" s="152"/>
      <c r="F436" s="141" t="str">
        <f t="shared" si="35"/>
        <v/>
      </c>
      <c r="G436" s="156"/>
      <c r="H436" s="156"/>
      <c r="I436" s="156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dio'!#REF!,'Opći dio'!#REF!,10,FALSE))</f>
        <v/>
      </c>
      <c r="B437" s="142" t="str">
        <f>IF(E437="","",VLOOKUP('Opći dio'!#REF!,'Opći dio'!#REF!,9,FALSE))</f>
        <v/>
      </c>
      <c r="C437" s="160" t="str">
        <f t="shared" si="33"/>
        <v/>
      </c>
      <c r="D437" s="140" t="str">
        <f t="shared" si="34"/>
        <v/>
      </c>
      <c r="E437" s="152"/>
      <c r="F437" s="141" t="str">
        <f t="shared" si="35"/>
        <v/>
      </c>
      <c r="G437" s="156"/>
      <c r="H437" s="156"/>
      <c r="I437" s="156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dio'!#REF!,'Opći dio'!#REF!,10,FALSE))</f>
        <v/>
      </c>
      <c r="B438" s="142" t="str">
        <f>IF(E438="","",VLOOKUP('Opći dio'!#REF!,'Opći dio'!#REF!,9,FALSE))</f>
        <v/>
      </c>
      <c r="C438" s="160" t="str">
        <f t="shared" si="33"/>
        <v/>
      </c>
      <c r="D438" s="140" t="str">
        <f t="shared" si="34"/>
        <v/>
      </c>
      <c r="E438" s="152"/>
      <c r="F438" s="141" t="str">
        <f t="shared" si="35"/>
        <v/>
      </c>
      <c r="G438" s="156"/>
      <c r="H438" s="156"/>
      <c r="I438" s="156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dio'!#REF!,'Opći dio'!#REF!,10,FALSE))</f>
        <v/>
      </c>
      <c r="B439" s="142" t="str">
        <f>IF(E439="","",VLOOKUP('Opći dio'!#REF!,'Opći dio'!#REF!,9,FALSE))</f>
        <v/>
      </c>
      <c r="C439" s="160" t="str">
        <f t="shared" si="33"/>
        <v/>
      </c>
      <c r="D439" s="140" t="str">
        <f t="shared" si="34"/>
        <v/>
      </c>
      <c r="E439" s="152"/>
      <c r="F439" s="141" t="str">
        <f t="shared" si="35"/>
        <v/>
      </c>
      <c r="G439" s="156"/>
      <c r="H439" s="156"/>
      <c r="I439" s="156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dio'!#REF!,'Opći dio'!#REF!,10,FALSE))</f>
        <v/>
      </c>
      <c r="B440" s="142" t="str">
        <f>IF(E440="","",VLOOKUP('Opći dio'!#REF!,'Opći dio'!#REF!,9,FALSE))</f>
        <v/>
      </c>
      <c r="C440" s="160" t="str">
        <f t="shared" si="33"/>
        <v/>
      </c>
      <c r="D440" s="140" t="str">
        <f t="shared" si="34"/>
        <v/>
      </c>
      <c r="E440" s="152"/>
      <c r="F440" s="141" t="str">
        <f t="shared" si="35"/>
        <v/>
      </c>
      <c r="G440" s="156"/>
      <c r="H440" s="156"/>
      <c r="I440" s="156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dio'!#REF!,'Opći dio'!#REF!,10,FALSE))</f>
        <v/>
      </c>
      <c r="B441" s="142" t="str">
        <f>IF(E441="","",VLOOKUP('Opći dio'!#REF!,'Opći dio'!#REF!,9,FALSE))</f>
        <v/>
      </c>
      <c r="C441" s="160" t="str">
        <f t="shared" si="33"/>
        <v/>
      </c>
      <c r="D441" s="140" t="str">
        <f t="shared" si="34"/>
        <v/>
      </c>
      <c r="E441" s="152"/>
      <c r="F441" s="141" t="str">
        <f t="shared" si="35"/>
        <v/>
      </c>
      <c r="G441" s="156"/>
      <c r="H441" s="156"/>
      <c r="I441" s="156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dio'!#REF!,'Opći dio'!#REF!,10,FALSE))</f>
        <v/>
      </c>
      <c r="B442" s="142" t="str">
        <f>IF(E442="","",VLOOKUP('Opći dio'!#REF!,'Opći dio'!#REF!,9,FALSE))</f>
        <v/>
      </c>
      <c r="C442" s="160" t="str">
        <f t="shared" si="33"/>
        <v/>
      </c>
      <c r="D442" s="140" t="str">
        <f t="shared" si="34"/>
        <v/>
      </c>
      <c r="E442" s="152"/>
      <c r="F442" s="141" t="str">
        <f t="shared" si="35"/>
        <v/>
      </c>
      <c r="G442" s="156"/>
      <c r="H442" s="156"/>
      <c r="I442" s="156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dio'!#REF!,'Opći dio'!#REF!,10,FALSE))</f>
        <v/>
      </c>
      <c r="B443" s="142" t="str">
        <f>IF(E443="","",VLOOKUP('Opći dio'!#REF!,'Opći dio'!#REF!,9,FALSE))</f>
        <v/>
      </c>
      <c r="C443" s="160" t="str">
        <f t="shared" si="33"/>
        <v/>
      </c>
      <c r="D443" s="140" t="str">
        <f t="shared" si="34"/>
        <v/>
      </c>
      <c r="E443" s="152"/>
      <c r="F443" s="141" t="str">
        <f t="shared" si="35"/>
        <v/>
      </c>
      <c r="G443" s="156"/>
      <c r="H443" s="156"/>
      <c r="I443" s="156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dio'!#REF!,'Opći dio'!#REF!,10,FALSE))</f>
        <v/>
      </c>
      <c r="B444" s="142" t="str">
        <f>IF(E444="","",VLOOKUP('Opći dio'!#REF!,'Opći dio'!#REF!,9,FALSE))</f>
        <v/>
      </c>
      <c r="C444" s="160" t="str">
        <f t="shared" si="33"/>
        <v/>
      </c>
      <c r="D444" s="140" t="str">
        <f t="shared" si="34"/>
        <v/>
      </c>
      <c r="E444" s="152"/>
      <c r="F444" s="141" t="str">
        <f t="shared" si="35"/>
        <v/>
      </c>
      <c r="G444" s="156"/>
      <c r="H444" s="156"/>
      <c r="I444" s="156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dio'!#REF!,'Opći dio'!#REF!,10,FALSE))</f>
        <v/>
      </c>
      <c r="B445" s="142" t="str">
        <f>IF(E445="","",VLOOKUP('Opći dio'!#REF!,'Opći dio'!#REF!,9,FALSE))</f>
        <v/>
      </c>
      <c r="C445" s="160" t="str">
        <f t="shared" si="33"/>
        <v/>
      </c>
      <c r="D445" s="140" t="str">
        <f t="shared" si="34"/>
        <v/>
      </c>
      <c r="E445" s="152"/>
      <c r="F445" s="141" t="str">
        <f t="shared" si="35"/>
        <v/>
      </c>
      <c r="G445" s="156"/>
      <c r="H445" s="156"/>
      <c r="I445" s="156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dio'!#REF!,'Opći dio'!#REF!,10,FALSE))</f>
        <v/>
      </c>
      <c r="B446" s="142" t="str">
        <f>IF(E446="","",VLOOKUP('Opći dio'!#REF!,'Opći dio'!#REF!,9,FALSE))</f>
        <v/>
      </c>
      <c r="C446" s="160" t="str">
        <f t="shared" si="33"/>
        <v/>
      </c>
      <c r="D446" s="140" t="str">
        <f t="shared" si="34"/>
        <v/>
      </c>
      <c r="E446" s="152"/>
      <c r="F446" s="141" t="str">
        <f t="shared" si="35"/>
        <v/>
      </c>
      <c r="G446" s="156"/>
      <c r="H446" s="156"/>
      <c r="I446" s="156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dio'!#REF!,'Opći dio'!#REF!,10,FALSE))</f>
        <v/>
      </c>
      <c r="B447" s="142" t="str">
        <f>IF(E447="","",VLOOKUP('Opći dio'!#REF!,'Opći dio'!#REF!,9,FALSE))</f>
        <v/>
      </c>
      <c r="C447" s="160" t="str">
        <f t="shared" si="33"/>
        <v/>
      </c>
      <c r="D447" s="140" t="str">
        <f t="shared" si="34"/>
        <v/>
      </c>
      <c r="E447" s="152"/>
      <c r="F447" s="141" t="str">
        <f t="shared" si="35"/>
        <v/>
      </c>
      <c r="G447" s="156"/>
      <c r="H447" s="156"/>
      <c r="I447" s="156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dio'!#REF!,'Opći dio'!#REF!,10,FALSE))</f>
        <v/>
      </c>
      <c r="B448" s="142" t="str">
        <f>IF(E448="","",VLOOKUP('Opći dio'!#REF!,'Opći dio'!#REF!,9,FALSE))</f>
        <v/>
      </c>
      <c r="C448" s="160" t="str">
        <f t="shared" si="33"/>
        <v/>
      </c>
      <c r="D448" s="140" t="str">
        <f t="shared" si="34"/>
        <v/>
      </c>
      <c r="E448" s="152"/>
      <c r="F448" s="141" t="str">
        <f t="shared" si="35"/>
        <v/>
      </c>
      <c r="G448" s="156"/>
      <c r="H448" s="156"/>
      <c r="I448" s="156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dio'!#REF!,'Opći dio'!#REF!,10,FALSE))</f>
        <v/>
      </c>
      <c r="B449" s="142" t="str">
        <f>IF(E449="","",VLOOKUP('Opći dio'!#REF!,'Opći dio'!#REF!,9,FALSE))</f>
        <v/>
      </c>
      <c r="C449" s="160" t="str">
        <f t="shared" si="33"/>
        <v/>
      </c>
      <c r="D449" s="140" t="str">
        <f t="shared" si="34"/>
        <v/>
      </c>
      <c r="E449" s="152"/>
      <c r="F449" s="141" t="str">
        <f t="shared" si="35"/>
        <v/>
      </c>
      <c r="G449" s="156"/>
      <c r="H449" s="156"/>
      <c r="I449" s="156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dio'!#REF!,'Opći dio'!#REF!,10,FALSE))</f>
        <v/>
      </c>
      <c r="B450" s="142" t="str">
        <f>IF(E450="","",VLOOKUP('Opći dio'!#REF!,'Opći dio'!#REF!,9,FALSE))</f>
        <v/>
      </c>
      <c r="C450" s="160" t="str">
        <f t="shared" si="33"/>
        <v/>
      </c>
      <c r="D450" s="140" t="str">
        <f t="shared" si="34"/>
        <v/>
      </c>
      <c r="E450" s="152"/>
      <c r="F450" s="141" t="str">
        <f t="shared" si="35"/>
        <v/>
      </c>
      <c r="G450" s="156"/>
      <c r="H450" s="156"/>
      <c r="I450" s="156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dio'!#REF!,'Opći dio'!#REF!,10,FALSE))</f>
        <v/>
      </c>
      <c r="B451" s="142" t="str">
        <f>IF(E451="","",VLOOKUP('Opći dio'!#REF!,'Opći dio'!#REF!,9,FALSE))</f>
        <v/>
      </c>
      <c r="C451" s="160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2"/>
      <c r="F451" s="141" t="str">
        <f t="shared" ref="F451:F501" si="40">IFERROR(VLOOKUP(E451,$R$6:$U$73,2,FALSE),"")</f>
        <v/>
      </c>
      <c r="G451" s="156"/>
      <c r="H451" s="156"/>
      <c r="I451" s="156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dio'!#REF!,'Opći dio'!#REF!,10,FALSE))</f>
        <v/>
      </c>
      <c r="B452" s="142" t="str">
        <f>IF(E452="","",VLOOKUP('Opći dio'!#REF!,'Opći dio'!#REF!,9,FALSE))</f>
        <v/>
      </c>
      <c r="C452" s="160" t="str">
        <f t="shared" si="38"/>
        <v/>
      </c>
      <c r="D452" s="140" t="str">
        <f t="shared" si="39"/>
        <v/>
      </c>
      <c r="E452" s="152"/>
      <c r="F452" s="141" t="str">
        <f t="shared" si="40"/>
        <v/>
      </c>
      <c r="G452" s="156"/>
      <c r="H452" s="156"/>
      <c r="I452" s="156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dio'!#REF!,'Opći dio'!#REF!,10,FALSE))</f>
        <v/>
      </c>
      <c r="B453" s="142" t="str">
        <f>IF(E453="","",VLOOKUP('Opći dio'!#REF!,'Opći dio'!#REF!,9,FALSE))</f>
        <v/>
      </c>
      <c r="C453" s="160" t="str">
        <f t="shared" si="38"/>
        <v/>
      </c>
      <c r="D453" s="140" t="str">
        <f t="shared" si="39"/>
        <v/>
      </c>
      <c r="E453" s="152"/>
      <c r="F453" s="141" t="str">
        <f t="shared" si="40"/>
        <v/>
      </c>
      <c r="G453" s="156"/>
      <c r="H453" s="156"/>
      <c r="I453" s="156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dio'!#REF!,'Opći dio'!#REF!,10,FALSE))</f>
        <v/>
      </c>
      <c r="B454" s="142" t="str">
        <f>IF(E454="","",VLOOKUP('Opći dio'!#REF!,'Opći dio'!#REF!,9,FALSE))</f>
        <v/>
      </c>
      <c r="C454" s="160" t="str">
        <f t="shared" si="38"/>
        <v/>
      </c>
      <c r="D454" s="140" t="str">
        <f t="shared" si="39"/>
        <v/>
      </c>
      <c r="E454" s="152"/>
      <c r="F454" s="141" t="str">
        <f t="shared" si="40"/>
        <v/>
      </c>
      <c r="G454" s="156"/>
      <c r="H454" s="156"/>
      <c r="I454" s="156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dio'!#REF!,'Opći dio'!#REF!,10,FALSE))</f>
        <v/>
      </c>
      <c r="B455" s="142" t="str">
        <f>IF(E455="","",VLOOKUP('Opći dio'!#REF!,'Opći dio'!#REF!,9,FALSE))</f>
        <v/>
      </c>
      <c r="C455" s="160" t="str">
        <f t="shared" si="38"/>
        <v/>
      </c>
      <c r="D455" s="140" t="str">
        <f t="shared" si="39"/>
        <v/>
      </c>
      <c r="E455" s="152"/>
      <c r="F455" s="141" t="str">
        <f t="shared" si="40"/>
        <v/>
      </c>
      <c r="G455" s="156"/>
      <c r="H455" s="156"/>
      <c r="I455" s="156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dio'!#REF!,'Opći dio'!#REF!,10,FALSE))</f>
        <v/>
      </c>
      <c r="B456" s="142" t="str">
        <f>IF(E456="","",VLOOKUP('Opći dio'!#REF!,'Opći dio'!#REF!,9,FALSE))</f>
        <v/>
      </c>
      <c r="C456" s="160" t="str">
        <f t="shared" si="38"/>
        <v/>
      </c>
      <c r="D456" s="140" t="str">
        <f t="shared" si="39"/>
        <v/>
      </c>
      <c r="E456" s="152"/>
      <c r="F456" s="141" t="str">
        <f t="shared" si="40"/>
        <v/>
      </c>
      <c r="G456" s="156"/>
      <c r="H456" s="156"/>
      <c r="I456" s="156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dio'!#REF!,'Opći dio'!#REF!,10,FALSE))</f>
        <v/>
      </c>
      <c r="B457" s="142" t="str">
        <f>IF(E457="","",VLOOKUP('Opći dio'!#REF!,'Opći dio'!#REF!,9,FALSE))</f>
        <v/>
      </c>
      <c r="C457" s="160" t="str">
        <f t="shared" si="38"/>
        <v/>
      </c>
      <c r="D457" s="140" t="str">
        <f t="shared" si="39"/>
        <v/>
      </c>
      <c r="E457" s="152"/>
      <c r="F457" s="141" t="str">
        <f t="shared" si="40"/>
        <v/>
      </c>
      <c r="G457" s="156"/>
      <c r="H457" s="156"/>
      <c r="I457" s="156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dio'!#REF!,'Opći dio'!#REF!,10,FALSE))</f>
        <v/>
      </c>
      <c r="B458" s="142" t="str">
        <f>IF(E458="","",VLOOKUP('Opći dio'!#REF!,'Opći dio'!#REF!,9,FALSE))</f>
        <v/>
      </c>
      <c r="C458" s="160" t="str">
        <f t="shared" si="38"/>
        <v/>
      </c>
      <c r="D458" s="140" t="str">
        <f t="shared" si="39"/>
        <v/>
      </c>
      <c r="E458" s="152"/>
      <c r="F458" s="141" t="str">
        <f t="shared" si="40"/>
        <v/>
      </c>
      <c r="G458" s="156"/>
      <c r="H458" s="156"/>
      <c r="I458" s="156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dio'!#REF!,'Opći dio'!#REF!,10,FALSE))</f>
        <v/>
      </c>
      <c r="B459" s="142" t="str">
        <f>IF(E459="","",VLOOKUP('Opći dio'!#REF!,'Opći dio'!#REF!,9,FALSE))</f>
        <v/>
      </c>
      <c r="C459" s="160" t="str">
        <f t="shared" si="38"/>
        <v/>
      </c>
      <c r="D459" s="140" t="str">
        <f t="shared" si="39"/>
        <v/>
      </c>
      <c r="E459" s="152"/>
      <c r="F459" s="141" t="str">
        <f t="shared" si="40"/>
        <v/>
      </c>
      <c r="G459" s="156"/>
      <c r="H459" s="156"/>
      <c r="I459" s="156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dio'!#REF!,'Opći dio'!#REF!,10,FALSE))</f>
        <v/>
      </c>
      <c r="B460" s="142" t="str">
        <f>IF(E460="","",VLOOKUP('Opći dio'!#REF!,'Opći dio'!#REF!,9,FALSE))</f>
        <v/>
      </c>
      <c r="C460" s="160" t="str">
        <f t="shared" si="38"/>
        <v/>
      </c>
      <c r="D460" s="140" t="str">
        <f t="shared" si="39"/>
        <v/>
      </c>
      <c r="E460" s="152"/>
      <c r="F460" s="141" t="str">
        <f t="shared" si="40"/>
        <v/>
      </c>
      <c r="G460" s="156"/>
      <c r="H460" s="156"/>
      <c r="I460" s="156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dio'!#REF!,'Opći dio'!#REF!,10,FALSE))</f>
        <v/>
      </c>
      <c r="B461" s="142" t="str">
        <f>IF(E461="","",VLOOKUP('Opći dio'!#REF!,'Opći dio'!#REF!,9,FALSE))</f>
        <v/>
      </c>
      <c r="C461" s="160" t="str">
        <f t="shared" si="38"/>
        <v/>
      </c>
      <c r="D461" s="140" t="str">
        <f t="shared" si="39"/>
        <v/>
      </c>
      <c r="E461" s="152"/>
      <c r="F461" s="141" t="str">
        <f t="shared" si="40"/>
        <v/>
      </c>
      <c r="G461" s="156"/>
      <c r="H461" s="156"/>
      <c r="I461" s="156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dio'!#REF!,'Opći dio'!#REF!,10,FALSE))</f>
        <v/>
      </c>
      <c r="B462" s="142" t="str">
        <f>IF(E462="","",VLOOKUP('Opći dio'!#REF!,'Opći dio'!#REF!,9,FALSE))</f>
        <v/>
      </c>
      <c r="C462" s="160" t="str">
        <f t="shared" si="38"/>
        <v/>
      </c>
      <c r="D462" s="140" t="str">
        <f t="shared" si="39"/>
        <v/>
      </c>
      <c r="E462" s="152"/>
      <c r="F462" s="141" t="str">
        <f t="shared" si="40"/>
        <v/>
      </c>
      <c r="G462" s="156"/>
      <c r="H462" s="156"/>
      <c r="I462" s="156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dio'!#REF!,'Opći dio'!#REF!,10,FALSE))</f>
        <v/>
      </c>
      <c r="B463" s="142" t="str">
        <f>IF(E463="","",VLOOKUP('Opći dio'!#REF!,'Opći dio'!#REF!,9,FALSE))</f>
        <v/>
      </c>
      <c r="C463" s="160" t="str">
        <f t="shared" si="38"/>
        <v/>
      </c>
      <c r="D463" s="140" t="str">
        <f t="shared" si="39"/>
        <v/>
      </c>
      <c r="E463" s="152"/>
      <c r="F463" s="141" t="str">
        <f t="shared" si="40"/>
        <v/>
      </c>
      <c r="G463" s="156"/>
      <c r="H463" s="156"/>
      <c r="I463" s="156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dio'!#REF!,'Opći dio'!#REF!,10,FALSE))</f>
        <v/>
      </c>
      <c r="B464" s="142" t="str">
        <f>IF(E464="","",VLOOKUP('Opći dio'!#REF!,'Opći dio'!#REF!,9,FALSE))</f>
        <v/>
      </c>
      <c r="C464" s="160" t="str">
        <f t="shared" si="38"/>
        <v/>
      </c>
      <c r="D464" s="140" t="str">
        <f t="shared" si="39"/>
        <v/>
      </c>
      <c r="E464" s="152"/>
      <c r="F464" s="141" t="str">
        <f t="shared" si="40"/>
        <v/>
      </c>
      <c r="G464" s="156"/>
      <c r="H464" s="156"/>
      <c r="I464" s="156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dio'!#REF!,'Opći dio'!#REF!,10,FALSE))</f>
        <v/>
      </c>
      <c r="B465" s="142" t="str">
        <f>IF(E465="","",VLOOKUP('Opći dio'!#REF!,'Opći dio'!#REF!,9,FALSE))</f>
        <v/>
      </c>
      <c r="C465" s="160" t="str">
        <f t="shared" si="38"/>
        <v/>
      </c>
      <c r="D465" s="140" t="str">
        <f t="shared" si="39"/>
        <v/>
      </c>
      <c r="E465" s="152"/>
      <c r="F465" s="141" t="str">
        <f t="shared" si="40"/>
        <v/>
      </c>
      <c r="G465" s="156"/>
      <c r="H465" s="156"/>
      <c r="I465" s="156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dio'!#REF!,'Opći dio'!#REF!,10,FALSE))</f>
        <v/>
      </c>
      <c r="B466" s="142" t="str">
        <f>IF(E466="","",VLOOKUP('Opći dio'!#REF!,'Opći dio'!#REF!,9,FALSE))</f>
        <v/>
      </c>
      <c r="C466" s="160" t="str">
        <f t="shared" si="38"/>
        <v/>
      </c>
      <c r="D466" s="140" t="str">
        <f t="shared" si="39"/>
        <v/>
      </c>
      <c r="E466" s="152"/>
      <c r="F466" s="141" t="str">
        <f t="shared" si="40"/>
        <v/>
      </c>
      <c r="G466" s="156"/>
      <c r="H466" s="156"/>
      <c r="I466" s="156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dio'!#REF!,'Opći dio'!#REF!,10,FALSE))</f>
        <v/>
      </c>
      <c r="B467" s="142" t="str">
        <f>IF(E467="","",VLOOKUP('Opći dio'!#REF!,'Opći dio'!#REF!,9,FALSE))</f>
        <v/>
      </c>
      <c r="C467" s="160" t="str">
        <f t="shared" si="38"/>
        <v/>
      </c>
      <c r="D467" s="140" t="str">
        <f t="shared" si="39"/>
        <v/>
      </c>
      <c r="E467" s="152"/>
      <c r="F467" s="141" t="str">
        <f t="shared" si="40"/>
        <v/>
      </c>
      <c r="G467" s="156"/>
      <c r="H467" s="156"/>
      <c r="I467" s="156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dio'!#REF!,'Opći dio'!#REF!,10,FALSE))</f>
        <v/>
      </c>
      <c r="B468" s="142" t="str">
        <f>IF(E468="","",VLOOKUP('Opći dio'!#REF!,'Opći dio'!#REF!,9,FALSE))</f>
        <v/>
      </c>
      <c r="C468" s="160" t="str">
        <f t="shared" si="38"/>
        <v/>
      </c>
      <c r="D468" s="140" t="str">
        <f t="shared" si="39"/>
        <v/>
      </c>
      <c r="E468" s="152"/>
      <c r="F468" s="141" t="str">
        <f t="shared" si="40"/>
        <v/>
      </c>
      <c r="G468" s="156"/>
      <c r="H468" s="156"/>
      <c r="I468" s="156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dio'!#REF!,'Opći dio'!#REF!,10,FALSE))</f>
        <v/>
      </c>
      <c r="B469" s="142" t="str">
        <f>IF(E469="","",VLOOKUP('Opći dio'!#REF!,'Opći dio'!#REF!,9,FALSE))</f>
        <v/>
      </c>
      <c r="C469" s="160" t="str">
        <f t="shared" si="38"/>
        <v/>
      </c>
      <c r="D469" s="140" t="str">
        <f t="shared" si="39"/>
        <v/>
      </c>
      <c r="E469" s="152"/>
      <c r="F469" s="141" t="str">
        <f t="shared" si="40"/>
        <v/>
      </c>
      <c r="G469" s="156"/>
      <c r="H469" s="156"/>
      <c r="I469" s="156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dio'!#REF!,'Opći dio'!#REF!,10,FALSE))</f>
        <v/>
      </c>
      <c r="B470" s="142" t="str">
        <f>IF(E470="","",VLOOKUP('Opći dio'!#REF!,'Opći dio'!#REF!,9,FALSE))</f>
        <v/>
      </c>
      <c r="C470" s="160" t="str">
        <f t="shared" si="38"/>
        <v/>
      </c>
      <c r="D470" s="140" t="str">
        <f t="shared" si="39"/>
        <v/>
      </c>
      <c r="E470" s="152"/>
      <c r="F470" s="141" t="str">
        <f t="shared" si="40"/>
        <v/>
      </c>
      <c r="G470" s="156"/>
      <c r="H470" s="156"/>
      <c r="I470" s="156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dio'!#REF!,'Opći dio'!#REF!,10,FALSE))</f>
        <v/>
      </c>
      <c r="B471" s="142" t="str">
        <f>IF(E471="","",VLOOKUP('Opći dio'!#REF!,'Opći dio'!#REF!,9,FALSE))</f>
        <v/>
      </c>
      <c r="C471" s="160" t="str">
        <f t="shared" si="38"/>
        <v/>
      </c>
      <c r="D471" s="140" t="str">
        <f t="shared" si="39"/>
        <v/>
      </c>
      <c r="E471" s="152"/>
      <c r="F471" s="141" t="str">
        <f t="shared" si="40"/>
        <v/>
      </c>
      <c r="G471" s="156"/>
      <c r="H471" s="156"/>
      <c r="I471" s="156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dio'!#REF!,'Opći dio'!#REF!,10,FALSE))</f>
        <v/>
      </c>
      <c r="B472" s="142" t="str">
        <f>IF(E472="","",VLOOKUP('Opći dio'!#REF!,'Opći dio'!#REF!,9,FALSE))</f>
        <v/>
      </c>
      <c r="C472" s="160" t="str">
        <f t="shared" si="38"/>
        <v/>
      </c>
      <c r="D472" s="140" t="str">
        <f t="shared" si="39"/>
        <v/>
      </c>
      <c r="E472" s="152"/>
      <c r="F472" s="141" t="str">
        <f t="shared" si="40"/>
        <v/>
      </c>
      <c r="G472" s="156"/>
      <c r="H472" s="156"/>
      <c r="I472" s="156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dio'!#REF!,'Opći dio'!#REF!,10,FALSE))</f>
        <v/>
      </c>
      <c r="B473" s="142" t="str">
        <f>IF(E473="","",VLOOKUP('Opći dio'!#REF!,'Opći dio'!#REF!,9,FALSE))</f>
        <v/>
      </c>
      <c r="C473" s="160" t="str">
        <f t="shared" si="38"/>
        <v/>
      </c>
      <c r="D473" s="140" t="str">
        <f t="shared" si="39"/>
        <v/>
      </c>
      <c r="E473" s="152"/>
      <c r="F473" s="141" t="str">
        <f t="shared" si="40"/>
        <v/>
      </c>
      <c r="G473" s="156"/>
      <c r="H473" s="156"/>
      <c r="I473" s="156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dio'!#REF!,'Opći dio'!#REF!,10,FALSE))</f>
        <v/>
      </c>
      <c r="B474" s="142" t="str">
        <f>IF(E474="","",VLOOKUP('Opći dio'!#REF!,'Opći dio'!#REF!,9,FALSE))</f>
        <v/>
      </c>
      <c r="C474" s="160" t="str">
        <f t="shared" si="38"/>
        <v/>
      </c>
      <c r="D474" s="140" t="str">
        <f t="shared" si="39"/>
        <v/>
      </c>
      <c r="E474" s="152"/>
      <c r="F474" s="141" t="str">
        <f t="shared" si="40"/>
        <v/>
      </c>
      <c r="G474" s="156"/>
      <c r="H474" s="156"/>
      <c r="I474" s="156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dio'!#REF!,'Opći dio'!#REF!,10,FALSE))</f>
        <v/>
      </c>
      <c r="B475" s="142" t="str">
        <f>IF(E475="","",VLOOKUP('Opći dio'!#REF!,'Opći dio'!#REF!,9,FALSE))</f>
        <v/>
      </c>
      <c r="C475" s="160" t="str">
        <f t="shared" si="38"/>
        <v/>
      </c>
      <c r="D475" s="140" t="str">
        <f t="shared" si="39"/>
        <v/>
      </c>
      <c r="E475" s="152"/>
      <c r="F475" s="141" t="str">
        <f t="shared" si="40"/>
        <v/>
      </c>
      <c r="G475" s="156"/>
      <c r="H475" s="156"/>
      <c r="I475" s="156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dio'!#REF!,'Opći dio'!#REF!,10,FALSE))</f>
        <v/>
      </c>
      <c r="B476" s="142" t="str">
        <f>IF(E476="","",VLOOKUP('Opći dio'!#REF!,'Opći dio'!#REF!,9,FALSE))</f>
        <v/>
      </c>
      <c r="C476" s="160" t="str">
        <f t="shared" si="38"/>
        <v/>
      </c>
      <c r="D476" s="140" t="str">
        <f t="shared" si="39"/>
        <v/>
      </c>
      <c r="E476" s="152"/>
      <c r="F476" s="141" t="str">
        <f t="shared" si="40"/>
        <v/>
      </c>
      <c r="G476" s="156"/>
      <c r="H476" s="156"/>
      <c r="I476" s="156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dio'!#REF!,'Opći dio'!#REF!,10,FALSE))</f>
        <v/>
      </c>
      <c r="B477" s="142" t="str">
        <f>IF(E477="","",VLOOKUP('Opći dio'!#REF!,'Opći dio'!#REF!,9,FALSE))</f>
        <v/>
      </c>
      <c r="C477" s="160" t="str">
        <f t="shared" si="38"/>
        <v/>
      </c>
      <c r="D477" s="140" t="str">
        <f t="shared" si="39"/>
        <v/>
      </c>
      <c r="E477" s="152"/>
      <c r="F477" s="141" t="str">
        <f t="shared" si="40"/>
        <v/>
      </c>
      <c r="G477" s="156"/>
      <c r="H477" s="156"/>
      <c r="I477" s="156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dio'!#REF!,'Opći dio'!#REF!,10,FALSE))</f>
        <v/>
      </c>
      <c r="B478" s="142" t="str">
        <f>IF(E478="","",VLOOKUP('Opći dio'!#REF!,'Opći dio'!#REF!,9,FALSE))</f>
        <v/>
      </c>
      <c r="C478" s="160" t="str">
        <f t="shared" si="38"/>
        <v/>
      </c>
      <c r="D478" s="140" t="str">
        <f t="shared" si="39"/>
        <v/>
      </c>
      <c r="E478" s="152"/>
      <c r="F478" s="141" t="str">
        <f t="shared" si="40"/>
        <v/>
      </c>
      <c r="G478" s="156"/>
      <c r="H478" s="156"/>
      <c r="I478" s="156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dio'!#REF!,'Opći dio'!#REF!,10,FALSE))</f>
        <v/>
      </c>
      <c r="B479" s="142" t="str">
        <f>IF(E479="","",VLOOKUP('Opći dio'!#REF!,'Opći dio'!#REF!,9,FALSE))</f>
        <v/>
      </c>
      <c r="C479" s="160" t="str">
        <f t="shared" si="38"/>
        <v/>
      </c>
      <c r="D479" s="140" t="str">
        <f t="shared" si="39"/>
        <v/>
      </c>
      <c r="E479" s="152"/>
      <c r="F479" s="141" t="str">
        <f t="shared" si="40"/>
        <v/>
      </c>
      <c r="G479" s="156"/>
      <c r="H479" s="156"/>
      <c r="I479" s="156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dio'!#REF!,'Opći dio'!#REF!,10,FALSE))</f>
        <v/>
      </c>
      <c r="B480" s="142" t="str">
        <f>IF(E480="","",VLOOKUP('Opći dio'!#REF!,'Opći dio'!#REF!,9,FALSE))</f>
        <v/>
      </c>
      <c r="C480" s="160" t="str">
        <f t="shared" si="38"/>
        <v/>
      </c>
      <c r="D480" s="140" t="str">
        <f t="shared" si="39"/>
        <v/>
      </c>
      <c r="E480" s="152"/>
      <c r="F480" s="141" t="str">
        <f t="shared" si="40"/>
        <v/>
      </c>
      <c r="G480" s="156"/>
      <c r="H480" s="156"/>
      <c r="I480" s="156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dio'!#REF!,'Opći dio'!#REF!,10,FALSE))</f>
        <v/>
      </c>
      <c r="B481" s="142" t="str">
        <f>IF(E481="","",VLOOKUP('Opći dio'!#REF!,'Opći dio'!#REF!,9,FALSE))</f>
        <v/>
      </c>
      <c r="C481" s="160" t="str">
        <f t="shared" si="38"/>
        <v/>
      </c>
      <c r="D481" s="140" t="str">
        <f t="shared" si="39"/>
        <v/>
      </c>
      <c r="E481" s="152"/>
      <c r="F481" s="141" t="str">
        <f t="shared" si="40"/>
        <v/>
      </c>
      <c r="G481" s="156"/>
      <c r="H481" s="156"/>
      <c r="I481" s="156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dio'!#REF!,'Opći dio'!#REF!,10,FALSE))</f>
        <v/>
      </c>
      <c r="B482" s="142" t="str">
        <f>IF(E482="","",VLOOKUP('Opći dio'!#REF!,'Opći dio'!#REF!,9,FALSE))</f>
        <v/>
      </c>
      <c r="C482" s="160" t="str">
        <f t="shared" si="38"/>
        <v/>
      </c>
      <c r="D482" s="140" t="str">
        <f t="shared" si="39"/>
        <v/>
      </c>
      <c r="E482" s="152"/>
      <c r="F482" s="141" t="str">
        <f t="shared" si="40"/>
        <v/>
      </c>
      <c r="G482" s="156"/>
      <c r="H482" s="156"/>
      <c r="I482" s="156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dio'!#REF!,'Opći dio'!#REF!,10,FALSE))</f>
        <v/>
      </c>
      <c r="B483" s="142" t="str">
        <f>IF(E483="","",VLOOKUP('Opći dio'!#REF!,'Opći dio'!#REF!,9,FALSE))</f>
        <v/>
      </c>
      <c r="C483" s="160" t="str">
        <f t="shared" si="38"/>
        <v/>
      </c>
      <c r="D483" s="140" t="str">
        <f t="shared" si="39"/>
        <v/>
      </c>
      <c r="E483" s="152"/>
      <c r="F483" s="141" t="str">
        <f t="shared" si="40"/>
        <v/>
      </c>
      <c r="G483" s="156"/>
      <c r="H483" s="156"/>
      <c r="I483" s="156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dio'!#REF!,'Opći dio'!#REF!,10,FALSE))</f>
        <v/>
      </c>
      <c r="B484" s="142" t="str">
        <f>IF(E484="","",VLOOKUP('Opći dio'!#REF!,'Opći dio'!#REF!,9,FALSE))</f>
        <v/>
      </c>
      <c r="C484" s="160" t="str">
        <f t="shared" si="38"/>
        <v/>
      </c>
      <c r="D484" s="140" t="str">
        <f t="shared" si="39"/>
        <v/>
      </c>
      <c r="E484" s="152"/>
      <c r="F484" s="141" t="str">
        <f t="shared" si="40"/>
        <v/>
      </c>
      <c r="G484" s="156"/>
      <c r="H484" s="156"/>
      <c r="I484" s="156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dio'!#REF!,'Opći dio'!#REF!,10,FALSE))</f>
        <v/>
      </c>
      <c r="B485" s="142" t="str">
        <f>IF(E485="","",VLOOKUP('Opći dio'!#REF!,'Opći dio'!#REF!,9,FALSE))</f>
        <v/>
      </c>
      <c r="C485" s="160" t="str">
        <f t="shared" si="38"/>
        <v/>
      </c>
      <c r="D485" s="140" t="str">
        <f t="shared" si="39"/>
        <v/>
      </c>
      <c r="E485" s="152"/>
      <c r="F485" s="141" t="str">
        <f t="shared" si="40"/>
        <v/>
      </c>
      <c r="G485" s="156"/>
      <c r="H485" s="156"/>
      <c r="I485" s="156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dio'!#REF!,'Opći dio'!#REF!,10,FALSE))</f>
        <v/>
      </c>
      <c r="B486" s="142" t="str">
        <f>IF(E486="","",VLOOKUP('Opći dio'!#REF!,'Opći dio'!#REF!,9,FALSE))</f>
        <v/>
      </c>
      <c r="C486" s="160" t="str">
        <f t="shared" si="38"/>
        <v/>
      </c>
      <c r="D486" s="140" t="str">
        <f t="shared" si="39"/>
        <v/>
      </c>
      <c r="E486" s="152"/>
      <c r="F486" s="141" t="str">
        <f t="shared" si="40"/>
        <v/>
      </c>
      <c r="G486" s="156"/>
      <c r="H486" s="156"/>
      <c r="I486" s="156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dio'!#REF!,'Opći dio'!#REF!,10,FALSE))</f>
        <v/>
      </c>
      <c r="B487" s="142" t="str">
        <f>IF(E487="","",VLOOKUP('Opći dio'!#REF!,'Opći dio'!#REF!,9,FALSE))</f>
        <v/>
      </c>
      <c r="C487" s="160" t="str">
        <f t="shared" si="38"/>
        <v/>
      </c>
      <c r="D487" s="140" t="str">
        <f t="shared" si="39"/>
        <v/>
      </c>
      <c r="E487" s="152"/>
      <c r="F487" s="141" t="str">
        <f t="shared" si="40"/>
        <v/>
      </c>
      <c r="G487" s="156"/>
      <c r="H487" s="156"/>
      <c r="I487" s="156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dio'!#REF!,'Opći dio'!#REF!,10,FALSE))</f>
        <v/>
      </c>
      <c r="B488" s="142" t="str">
        <f>IF(E488="","",VLOOKUP('Opći dio'!#REF!,'Opći dio'!#REF!,9,FALSE))</f>
        <v/>
      </c>
      <c r="C488" s="160" t="str">
        <f t="shared" si="38"/>
        <v/>
      </c>
      <c r="D488" s="140" t="str">
        <f t="shared" si="39"/>
        <v/>
      </c>
      <c r="E488" s="152"/>
      <c r="F488" s="141" t="str">
        <f t="shared" si="40"/>
        <v/>
      </c>
      <c r="G488" s="156"/>
      <c r="H488" s="156"/>
      <c r="I488" s="156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dio'!#REF!,'Opći dio'!#REF!,10,FALSE))</f>
        <v/>
      </c>
      <c r="B489" s="142" t="str">
        <f>IF(E489="","",VLOOKUP('Opći dio'!#REF!,'Opći dio'!#REF!,9,FALSE))</f>
        <v/>
      </c>
      <c r="C489" s="160" t="str">
        <f t="shared" si="38"/>
        <v/>
      </c>
      <c r="D489" s="140" t="str">
        <f t="shared" si="39"/>
        <v/>
      </c>
      <c r="E489" s="152"/>
      <c r="F489" s="141" t="str">
        <f t="shared" si="40"/>
        <v/>
      </c>
      <c r="G489" s="156"/>
      <c r="H489" s="156"/>
      <c r="I489" s="156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dio'!#REF!,'Opći dio'!#REF!,10,FALSE))</f>
        <v/>
      </c>
      <c r="B490" s="142" t="str">
        <f>IF(E490="","",VLOOKUP('Opći dio'!#REF!,'Opći dio'!#REF!,9,FALSE))</f>
        <v/>
      </c>
      <c r="C490" s="160" t="str">
        <f t="shared" si="38"/>
        <v/>
      </c>
      <c r="D490" s="140" t="str">
        <f t="shared" si="39"/>
        <v/>
      </c>
      <c r="E490" s="152"/>
      <c r="F490" s="141" t="str">
        <f t="shared" si="40"/>
        <v/>
      </c>
      <c r="G490" s="156"/>
      <c r="H490" s="156"/>
      <c r="I490" s="156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dio'!#REF!,'Opći dio'!#REF!,10,FALSE))</f>
        <v/>
      </c>
      <c r="B491" s="142" t="str">
        <f>IF(E491="","",VLOOKUP('Opći dio'!#REF!,'Opći dio'!#REF!,9,FALSE))</f>
        <v/>
      </c>
      <c r="C491" s="160" t="str">
        <f t="shared" si="38"/>
        <v/>
      </c>
      <c r="D491" s="140" t="str">
        <f t="shared" si="39"/>
        <v/>
      </c>
      <c r="E491" s="152"/>
      <c r="F491" s="141" t="str">
        <f t="shared" si="40"/>
        <v/>
      </c>
      <c r="G491" s="156"/>
      <c r="H491" s="156"/>
      <c r="I491" s="156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dio'!#REF!,'Opći dio'!#REF!,10,FALSE))</f>
        <v/>
      </c>
      <c r="B492" s="142" t="str">
        <f>IF(E492="","",VLOOKUP('Opći dio'!#REF!,'Opći dio'!#REF!,9,FALSE))</f>
        <v/>
      </c>
      <c r="C492" s="160" t="str">
        <f t="shared" si="38"/>
        <v/>
      </c>
      <c r="D492" s="140" t="str">
        <f t="shared" si="39"/>
        <v/>
      </c>
      <c r="E492" s="152"/>
      <c r="F492" s="141" t="str">
        <f t="shared" si="40"/>
        <v/>
      </c>
      <c r="G492" s="156"/>
      <c r="H492" s="156"/>
      <c r="I492" s="156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dio'!#REF!,'Opći dio'!#REF!,10,FALSE))</f>
        <v/>
      </c>
      <c r="B493" s="142" t="str">
        <f>IF(E493="","",VLOOKUP('Opći dio'!#REF!,'Opći dio'!#REF!,9,FALSE))</f>
        <v/>
      </c>
      <c r="C493" s="160" t="str">
        <f t="shared" si="38"/>
        <v/>
      </c>
      <c r="D493" s="140" t="str">
        <f t="shared" si="39"/>
        <v/>
      </c>
      <c r="E493" s="152"/>
      <c r="F493" s="141" t="str">
        <f t="shared" si="40"/>
        <v/>
      </c>
      <c r="G493" s="156"/>
      <c r="H493" s="156"/>
      <c r="I493" s="156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dio'!#REF!,'Opći dio'!#REF!,10,FALSE))</f>
        <v/>
      </c>
      <c r="B494" s="142" t="str">
        <f>IF(E494="","",VLOOKUP('Opći dio'!#REF!,'Opći dio'!#REF!,9,FALSE))</f>
        <v/>
      </c>
      <c r="C494" s="160" t="str">
        <f t="shared" si="38"/>
        <v/>
      </c>
      <c r="D494" s="140" t="str">
        <f t="shared" si="39"/>
        <v/>
      </c>
      <c r="E494" s="152"/>
      <c r="F494" s="141" t="str">
        <f t="shared" si="40"/>
        <v/>
      </c>
      <c r="G494" s="156"/>
      <c r="H494" s="156"/>
      <c r="I494" s="156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dio'!#REF!,'Opći dio'!#REF!,10,FALSE))</f>
        <v/>
      </c>
      <c r="B495" s="142" t="str">
        <f>IF(E495="","",VLOOKUP('Opći dio'!#REF!,'Opći dio'!#REF!,9,FALSE))</f>
        <v/>
      </c>
      <c r="C495" s="160" t="str">
        <f t="shared" si="38"/>
        <v/>
      </c>
      <c r="D495" s="140" t="str">
        <f t="shared" si="39"/>
        <v/>
      </c>
      <c r="E495" s="152"/>
      <c r="F495" s="141" t="str">
        <f t="shared" si="40"/>
        <v/>
      </c>
      <c r="G495" s="156"/>
      <c r="H495" s="156"/>
      <c r="I495" s="156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dio'!#REF!,'Opći dio'!#REF!,10,FALSE))</f>
        <v/>
      </c>
      <c r="B496" s="142" t="str">
        <f>IF(E496="","",VLOOKUP('Opći dio'!#REF!,'Opći dio'!#REF!,9,FALSE))</f>
        <v/>
      </c>
      <c r="C496" s="160" t="str">
        <f t="shared" si="38"/>
        <v/>
      </c>
      <c r="D496" s="140" t="str">
        <f t="shared" si="39"/>
        <v/>
      </c>
      <c r="E496" s="152"/>
      <c r="F496" s="141" t="str">
        <f t="shared" si="40"/>
        <v/>
      </c>
      <c r="G496" s="156"/>
      <c r="H496" s="156"/>
      <c r="I496" s="156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dio'!#REF!,'Opći dio'!#REF!,10,FALSE))</f>
        <v/>
      </c>
      <c r="B497" s="142" t="str">
        <f>IF(E497="","",VLOOKUP('Opći dio'!#REF!,'Opći dio'!#REF!,9,FALSE))</f>
        <v/>
      </c>
      <c r="C497" s="160" t="str">
        <f t="shared" si="38"/>
        <v/>
      </c>
      <c r="D497" s="140" t="str">
        <f t="shared" si="39"/>
        <v/>
      </c>
      <c r="E497" s="152"/>
      <c r="F497" s="141" t="str">
        <f t="shared" si="40"/>
        <v/>
      </c>
      <c r="G497" s="156"/>
      <c r="H497" s="156"/>
      <c r="I497" s="156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dio'!#REF!,'Opći dio'!#REF!,10,FALSE))</f>
        <v/>
      </c>
      <c r="B498" s="142" t="str">
        <f>IF(E498="","",VLOOKUP('Opći dio'!#REF!,'Opći dio'!#REF!,9,FALSE))</f>
        <v/>
      </c>
      <c r="C498" s="160" t="str">
        <f t="shared" si="38"/>
        <v/>
      </c>
      <c r="D498" s="140" t="str">
        <f t="shared" si="39"/>
        <v/>
      </c>
      <c r="E498" s="152"/>
      <c r="F498" s="141" t="str">
        <f t="shared" si="40"/>
        <v/>
      </c>
      <c r="G498" s="156"/>
      <c r="H498" s="156"/>
      <c r="I498" s="156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dio'!#REF!,'Opći dio'!#REF!,10,FALSE))</f>
        <v/>
      </c>
      <c r="B499" s="142" t="str">
        <f>IF(E499="","",VLOOKUP('Opći dio'!#REF!,'Opći dio'!#REF!,9,FALSE))</f>
        <v/>
      </c>
      <c r="C499" s="160" t="str">
        <f t="shared" si="38"/>
        <v/>
      </c>
      <c r="D499" s="140" t="str">
        <f t="shared" si="39"/>
        <v/>
      </c>
      <c r="E499" s="152"/>
      <c r="F499" s="141" t="str">
        <f t="shared" si="40"/>
        <v/>
      </c>
      <c r="G499" s="156"/>
      <c r="H499" s="156"/>
      <c r="I499" s="156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dio'!#REF!,'Opći dio'!#REF!,10,FALSE))</f>
        <v/>
      </c>
      <c r="B500" s="142" t="str">
        <f>IF(E500="","",VLOOKUP('Opći dio'!#REF!,'Opći dio'!#REF!,9,FALSE))</f>
        <v/>
      </c>
      <c r="C500" s="160" t="str">
        <f t="shared" si="38"/>
        <v/>
      </c>
      <c r="D500" s="140" t="str">
        <f t="shared" si="39"/>
        <v/>
      </c>
      <c r="E500" s="152"/>
      <c r="F500" s="141" t="str">
        <f t="shared" si="40"/>
        <v/>
      </c>
      <c r="G500" s="156"/>
      <c r="H500" s="156"/>
      <c r="I500" s="156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dio'!#REF!,'Opći dio'!#REF!,10,FALSE))</f>
        <v/>
      </c>
      <c r="B501" s="142" t="str">
        <f>IF(E501="","",VLOOKUP('Opći dio'!#REF!,'Opći dio'!#REF!,9,FALSE))</f>
        <v/>
      </c>
      <c r="C501" s="160" t="str">
        <f t="shared" si="38"/>
        <v/>
      </c>
      <c r="D501" s="140" t="str">
        <f t="shared" si="39"/>
        <v/>
      </c>
      <c r="E501" s="152"/>
      <c r="F501" s="141" t="str">
        <f t="shared" si="40"/>
        <v/>
      </c>
      <c r="G501" s="156"/>
      <c r="H501" s="156"/>
      <c r="I501" s="156"/>
      <c r="K501" s="144" t="str">
        <f t="shared" si="41"/>
        <v/>
      </c>
      <c r="L501" s="144" t="str">
        <f t="shared" si="42"/>
        <v/>
      </c>
    </row>
    <row r="502" spans="1:12"/>
  </sheetData>
  <sheetProtection selectLockedCells="1"/>
  <sortState ref="R6:V71">
    <sortCondition ref="R5"/>
  </sortState>
  <mergeCells count="1">
    <mergeCell ref="A1:D1"/>
  </mergeCells>
  <phoneticPr fontId="31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pageSetUpPr fitToPage="1"/>
  </sheetPr>
  <dimension ref="A1:Y502"/>
  <sheetViews>
    <sheetView showGridLines="0" zoomScaleNormal="100" workbookViewId="0">
      <pane ySplit="2" topLeftCell="A226" activePane="bottomLeft" state="frozen"/>
      <selection pane="bottomLeft" activeCell="D455" sqref="D455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223" customWidth="1"/>
    <col min="4" max="4" width="16.85546875" style="144" customWidth="1"/>
    <col min="5" max="5" width="11.28515625" style="223" customWidth="1"/>
    <col min="6" max="6" width="21.85546875" style="144" customWidth="1"/>
    <col min="7" max="7" width="12.5703125" style="223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26" t="s">
        <v>377</v>
      </c>
      <c r="B1" s="226"/>
      <c r="C1" s="226"/>
      <c r="D1" s="226"/>
      <c r="E1" s="224" t="e">
        <f>IF('Opći dio'!#REF!="odaberite -","Molimo odaberite proračunskog korisnika na radnom listu Opći podaci!","")</f>
        <v>#REF!</v>
      </c>
    </row>
    <row r="2" spans="1:25" ht="36" customHeight="1">
      <c r="A2" s="200" t="s">
        <v>38</v>
      </c>
      <c r="B2" s="200" t="s">
        <v>39</v>
      </c>
      <c r="C2" s="201" t="s">
        <v>409</v>
      </c>
      <c r="D2" s="200" t="s">
        <v>41</v>
      </c>
      <c r="E2" s="250" t="s">
        <v>407</v>
      </c>
      <c r="F2" s="200" t="s">
        <v>408</v>
      </c>
      <c r="G2" s="201"/>
      <c r="H2" s="200" t="s">
        <v>43</v>
      </c>
      <c r="I2" s="249" t="s">
        <v>1227</v>
      </c>
      <c r="J2" s="249" t="s">
        <v>1228</v>
      </c>
      <c r="K2" s="249" t="s">
        <v>1229</v>
      </c>
      <c r="M2" s="146" t="s">
        <v>379</v>
      </c>
      <c r="N2" s="146" t="s">
        <v>380</v>
      </c>
    </row>
    <row r="3" spans="1:25">
      <c r="A3" s="211" t="s">
        <v>46</v>
      </c>
      <c r="B3" s="211" t="s">
        <v>47</v>
      </c>
      <c r="C3" s="208">
        <v>11</v>
      </c>
      <c r="D3" s="212" t="s">
        <v>48</v>
      </c>
      <c r="E3" s="213">
        <v>3111</v>
      </c>
      <c r="F3" s="214" t="s">
        <v>49</v>
      </c>
      <c r="G3" s="215" t="s">
        <v>63</v>
      </c>
      <c r="H3" s="211" t="str">
        <f t="shared" ref="H3:H9" si="0">IFERROR(VLOOKUP(G3,$X$6:$Y$50,2,FALSE),"")</f>
        <v>REDOVNA DJELATNOST SVEUČILIŠTA U OSIJEKU</v>
      </c>
      <c r="I3" s="216">
        <v>35711582.453923099</v>
      </c>
      <c r="J3" s="216">
        <v>37282782.257892199</v>
      </c>
      <c r="K3" s="216">
        <v>37324481.601805158</v>
      </c>
      <c r="M3" s="144" t="str">
        <f>LEFT(E3,3)</f>
        <v>311</v>
      </c>
      <c r="N3" s="144" t="str">
        <f>LEFT(E3,2)</f>
        <v>31</v>
      </c>
    </row>
    <row r="4" spans="1:25">
      <c r="A4" s="211" t="s">
        <v>46</v>
      </c>
      <c r="B4" s="211" t="s">
        <v>47</v>
      </c>
      <c r="C4" s="208">
        <v>11</v>
      </c>
      <c r="D4" s="212" t="s">
        <v>48</v>
      </c>
      <c r="E4" s="213">
        <v>3121</v>
      </c>
      <c r="F4" s="214" t="s">
        <v>52</v>
      </c>
      <c r="G4" s="215" t="s">
        <v>63</v>
      </c>
      <c r="H4" s="211" t="str">
        <f t="shared" si="0"/>
        <v>REDOVNA DJELATNOST SVEUČILIŠTA U OSIJEKU</v>
      </c>
      <c r="I4" s="216">
        <v>895850</v>
      </c>
      <c r="J4" s="216">
        <v>915712</v>
      </c>
      <c r="K4" s="216">
        <v>924156</v>
      </c>
      <c r="M4" s="144" t="str">
        <f t="shared" ref="M4:M67" si="1">LEFT(E4,3)</f>
        <v>312</v>
      </c>
      <c r="N4" s="144" t="str">
        <f t="shared" ref="N4:N67" si="2">LEFT(E4,2)</f>
        <v>31</v>
      </c>
      <c r="R4" s="149"/>
      <c r="S4" s="149"/>
    </row>
    <row r="5" spans="1:25">
      <c r="A5" s="211" t="s">
        <v>46</v>
      </c>
      <c r="B5" s="211" t="s">
        <v>47</v>
      </c>
      <c r="C5" s="208">
        <v>11</v>
      </c>
      <c r="D5" s="212" t="s">
        <v>48</v>
      </c>
      <c r="E5" s="213">
        <v>3132</v>
      </c>
      <c r="F5" s="214" t="s">
        <v>53</v>
      </c>
      <c r="G5" s="215" t="s">
        <v>63</v>
      </c>
      <c r="H5" s="211" t="str">
        <f t="shared" si="0"/>
        <v>REDOVNA DJELATNOST SVEUČILIŠTA U OSIJEKU</v>
      </c>
      <c r="I5" s="216">
        <v>5637464</v>
      </c>
      <c r="J5" s="216">
        <v>5762446</v>
      </c>
      <c r="K5" s="216">
        <v>5815575</v>
      </c>
      <c r="M5" s="144" t="str">
        <f t="shared" si="1"/>
        <v>313</v>
      </c>
      <c r="N5" s="144" t="str">
        <f t="shared" si="2"/>
        <v>31</v>
      </c>
      <c r="O5" s="144" t="s">
        <v>40</v>
      </c>
      <c r="P5" s="144" t="s">
        <v>41</v>
      </c>
      <c r="R5" s="144">
        <v>3111</v>
      </c>
      <c r="S5" s="144" t="s">
        <v>49</v>
      </c>
      <c r="U5" s="144" t="str">
        <f t="shared" ref="U5:U9" si="3">LEFT(R5,2)</f>
        <v>31</v>
      </c>
      <c r="V5" s="144" t="str">
        <f>LEFT(R5,3)</f>
        <v>311</v>
      </c>
      <c r="X5" s="144" t="s">
        <v>42</v>
      </c>
      <c r="Y5" s="144" t="s">
        <v>43</v>
      </c>
    </row>
    <row r="6" spans="1:25">
      <c r="A6" s="211" t="s">
        <v>46</v>
      </c>
      <c r="B6" s="211" t="s">
        <v>47</v>
      </c>
      <c r="C6" s="208">
        <v>11</v>
      </c>
      <c r="D6" s="212" t="s">
        <v>48</v>
      </c>
      <c r="E6" s="213">
        <v>3212</v>
      </c>
      <c r="F6" s="214" t="s">
        <v>54</v>
      </c>
      <c r="G6" s="215" t="s">
        <v>63</v>
      </c>
      <c r="H6" s="211" t="str">
        <f t="shared" si="0"/>
        <v>REDOVNA DJELATNOST SVEUČILIŠTA U OSIJEKU</v>
      </c>
      <c r="I6" s="216">
        <v>956565</v>
      </c>
      <c r="J6" s="216">
        <v>977771</v>
      </c>
      <c r="K6" s="216">
        <v>986786</v>
      </c>
      <c r="M6" s="144" t="str">
        <f t="shared" si="1"/>
        <v>321</v>
      </c>
      <c r="N6" s="144" t="str">
        <f t="shared" si="2"/>
        <v>32</v>
      </c>
      <c r="O6" s="144">
        <v>11</v>
      </c>
      <c r="P6" s="144" t="s">
        <v>48</v>
      </c>
      <c r="R6" s="144">
        <v>3112</v>
      </c>
      <c r="S6" s="144" t="s">
        <v>149</v>
      </c>
      <c r="U6" s="144" t="str">
        <f t="shared" si="3"/>
        <v>31</v>
      </c>
      <c r="V6" s="144" t="str">
        <f t="shared" ref="V6:V9" si="4">LEFT(R6,3)</f>
        <v>311</v>
      </c>
      <c r="X6" s="144" t="s">
        <v>50</v>
      </c>
      <c r="Y6" s="144" t="s">
        <v>51</v>
      </c>
    </row>
    <row r="7" spans="1:25">
      <c r="A7" s="211" t="s">
        <v>46</v>
      </c>
      <c r="B7" s="211" t="s">
        <v>47</v>
      </c>
      <c r="C7" s="208">
        <v>11</v>
      </c>
      <c r="D7" s="212" t="s">
        <v>48</v>
      </c>
      <c r="E7" s="213">
        <v>3236</v>
      </c>
      <c r="F7" s="214" t="s">
        <v>55</v>
      </c>
      <c r="G7" s="215" t="s">
        <v>63</v>
      </c>
      <c r="H7" s="211" t="str">
        <f t="shared" si="0"/>
        <v>REDOVNA DJELATNOST SVEUČILIŠTA U OSIJEKU</v>
      </c>
      <c r="I7" s="216">
        <v>57000</v>
      </c>
      <c r="J7" s="216">
        <v>59500</v>
      </c>
      <c r="K7" s="216">
        <v>60500</v>
      </c>
      <c r="M7" s="144" t="str">
        <f t="shared" si="1"/>
        <v>323</v>
      </c>
      <c r="N7" s="144" t="str">
        <f t="shared" si="2"/>
        <v>32</v>
      </c>
      <c r="O7" s="144">
        <v>12</v>
      </c>
      <c r="P7" s="144" t="s">
        <v>269</v>
      </c>
      <c r="R7" s="144">
        <v>3113</v>
      </c>
      <c r="S7" s="144" t="s">
        <v>128</v>
      </c>
      <c r="U7" s="144" t="str">
        <f t="shared" si="3"/>
        <v>31</v>
      </c>
      <c r="V7" s="144" t="str">
        <f t="shared" si="4"/>
        <v>311</v>
      </c>
      <c r="X7" s="144" t="s">
        <v>60</v>
      </c>
      <c r="Y7" s="144" t="s">
        <v>61</v>
      </c>
    </row>
    <row r="8" spans="1:25">
      <c r="A8" s="211" t="s">
        <v>46</v>
      </c>
      <c r="B8" s="211" t="s">
        <v>47</v>
      </c>
      <c r="C8" s="208">
        <v>11</v>
      </c>
      <c r="D8" s="212" t="s">
        <v>48</v>
      </c>
      <c r="E8" s="213">
        <v>3295</v>
      </c>
      <c r="F8" s="214" t="s">
        <v>56</v>
      </c>
      <c r="G8" s="215" t="s">
        <v>63</v>
      </c>
      <c r="H8" s="211" t="str">
        <f t="shared" si="0"/>
        <v>REDOVNA DJELATNOST SVEUČILIŠTA U OSIJEKU</v>
      </c>
      <c r="I8" s="216">
        <v>80249</v>
      </c>
      <c r="J8" s="216">
        <v>82028</v>
      </c>
      <c r="K8" s="216">
        <v>82784</v>
      </c>
      <c r="M8" s="144" t="str">
        <f t="shared" si="1"/>
        <v>329</v>
      </c>
      <c r="N8" s="144" t="str">
        <f t="shared" si="2"/>
        <v>32</v>
      </c>
      <c r="O8" s="144">
        <v>31</v>
      </c>
      <c r="P8" s="144" t="s">
        <v>93</v>
      </c>
      <c r="R8" s="144">
        <v>3114</v>
      </c>
      <c r="S8" s="144" t="s">
        <v>150</v>
      </c>
      <c r="U8" s="144" t="str">
        <f t="shared" si="3"/>
        <v>31</v>
      </c>
      <c r="V8" s="144" t="str">
        <f t="shared" si="4"/>
        <v>311</v>
      </c>
      <c r="X8" s="144" t="s">
        <v>63</v>
      </c>
      <c r="Y8" s="144" t="s">
        <v>64</v>
      </c>
    </row>
    <row r="9" spans="1:25">
      <c r="A9" s="211" t="s">
        <v>46</v>
      </c>
      <c r="B9" s="211" t="s">
        <v>47</v>
      </c>
      <c r="C9" s="208">
        <v>11</v>
      </c>
      <c r="D9" s="212" t="s">
        <v>48</v>
      </c>
      <c r="E9" s="213">
        <v>3299</v>
      </c>
      <c r="F9" s="214" t="s">
        <v>59</v>
      </c>
      <c r="G9" s="215" t="s">
        <v>63</v>
      </c>
      <c r="H9" s="211" t="str">
        <f t="shared" si="0"/>
        <v>REDOVNA DJELATNOST SVEUČILIŠTA U OSIJEKU</v>
      </c>
      <c r="I9" s="216">
        <v>576519</v>
      </c>
      <c r="J9" s="216">
        <v>589548</v>
      </c>
      <c r="K9" s="216">
        <v>594989</v>
      </c>
      <c r="M9" s="144" t="str">
        <f t="shared" si="1"/>
        <v>329</v>
      </c>
      <c r="N9" s="144" t="str">
        <f t="shared" si="2"/>
        <v>32</v>
      </c>
      <c r="O9" s="144">
        <v>43</v>
      </c>
      <c r="P9" s="144" t="s">
        <v>98</v>
      </c>
      <c r="R9" s="144">
        <v>3121</v>
      </c>
      <c r="S9" s="144" t="s">
        <v>52</v>
      </c>
      <c r="U9" s="144" t="str">
        <f t="shared" si="3"/>
        <v>31</v>
      </c>
      <c r="V9" s="144" t="str">
        <f t="shared" si="4"/>
        <v>312</v>
      </c>
      <c r="X9" s="144" t="s">
        <v>65</v>
      </c>
      <c r="Y9" s="144" t="s">
        <v>66</v>
      </c>
    </row>
    <row r="10" spans="1:25">
      <c r="A10" s="211" t="s">
        <v>46</v>
      </c>
      <c r="B10" s="211" t="s">
        <v>47</v>
      </c>
      <c r="C10" s="208">
        <v>11</v>
      </c>
      <c r="D10" s="212" t="s">
        <v>48</v>
      </c>
      <c r="E10" s="213">
        <v>3111</v>
      </c>
      <c r="F10" s="214" t="s">
        <v>49</v>
      </c>
      <c r="G10" s="215" t="s">
        <v>424</v>
      </c>
      <c r="H10" s="211" t="str">
        <f t="shared" ref="H10:H55" si="5">IFERROR(VLOOKUP(G10,$X$6:$Y$50,2,FALSE),"")</f>
        <v>PROGRAMSKO FINANCIRANJE JAVNIH VISOKIH UČILIŠTA</v>
      </c>
      <c r="I10" s="206">
        <v>300000</v>
      </c>
      <c r="J10" s="206">
        <v>350000</v>
      </c>
      <c r="K10" s="206">
        <v>350000</v>
      </c>
      <c r="M10" s="144" t="str">
        <f t="shared" si="1"/>
        <v>311</v>
      </c>
      <c r="N10" s="144" t="str">
        <f t="shared" si="2"/>
        <v>31</v>
      </c>
      <c r="O10" s="144">
        <v>51</v>
      </c>
      <c r="P10" s="144" t="s">
        <v>88</v>
      </c>
      <c r="R10" s="168">
        <v>3132</v>
      </c>
      <c r="S10" s="168" t="s">
        <v>53</v>
      </c>
      <c r="T10" s="168"/>
      <c r="U10" s="168" t="str">
        <f t="shared" ref="U10:U41" si="6">LEFT(R10,2)</f>
        <v>31</v>
      </c>
      <c r="V10" s="168" t="str">
        <f t="shared" ref="V10:V41" si="7">LEFT(R10,3)</f>
        <v>313</v>
      </c>
      <c r="X10" s="144" t="s">
        <v>70</v>
      </c>
      <c r="Y10" s="144" t="s">
        <v>71</v>
      </c>
    </row>
    <row r="11" spans="1:25">
      <c r="A11" s="211" t="s">
        <v>46</v>
      </c>
      <c r="B11" s="211" t="s">
        <v>47</v>
      </c>
      <c r="C11" s="208">
        <v>11</v>
      </c>
      <c r="D11" s="212" t="s">
        <v>48</v>
      </c>
      <c r="E11" s="213">
        <v>3121</v>
      </c>
      <c r="F11" s="214" t="s">
        <v>52</v>
      </c>
      <c r="G11" s="215" t="s">
        <v>424</v>
      </c>
      <c r="H11" s="211" t="str">
        <f t="shared" ref="H11:H52" si="8">IFERROR(VLOOKUP(G11,$X$6:$Y$50,2,FALSE),"")</f>
        <v>PROGRAMSKO FINANCIRANJE JAVNIH VISOKIH UČILIŠTA</v>
      </c>
      <c r="I11" s="206">
        <v>300000</v>
      </c>
      <c r="J11" s="206">
        <v>350000</v>
      </c>
      <c r="K11" s="206">
        <v>350000</v>
      </c>
      <c r="M11" s="144" t="str">
        <f t="shared" si="1"/>
        <v>312</v>
      </c>
      <c r="N11" s="144" t="str">
        <f t="shared" si="2"/>
        <v>31</v>
      </c>
      <c r="O11" s="144">
        <v>52</v>
      </c>
      <c r="P11" s="144" t="s">
        <v>111</v>
      </c>
      <c r="R11" s="144">
        <v>3211</v>
      </c>
      <c r="S11" s="144" t="s">
        <v>80</v>
      </c>
      <c r="U11" s="144" t="str">
        <f t="shared" si="6"/>
        <v>32</v>
      </c>
      <c r="V11" s="144" t="str">
        <f t="shared" si="7"/>
        <v>321</v>
      </c>
      <c r="X11" s="144" t="s">
        <v>72</v>
      </c>
      <c r="Y11" s="144" t="s">
        <v>73</v>
      </c>
    </row>
    <row r="12" spans="1:25">
      <c r="A12" s="211" t="s">
        <v>46</v>
      </c>
      <c r="B12" s="211" t="s">
        <v>47</v>
      </c>
      <c r="C12" s="208">
        <v>11</v>
      </c>
      <c r="D12" s="212" t="s">
        <v>48</v>
      </c>
      <c r="E12" s="213">
        <v>3132</v>
      </c>
      <c r="F12" s="214" t="s">
        <v>53</v>
      </c>
      <c r="G12" s="215" t="s">
        <v>424</v>
      </c>
      <c r="H12" s="211" t="str">
        <f t="shared" si="8"/>
        <v>PROGRAMSKO FINANCIRANJE JAVNIH VISOKIH UČILIŠTA</v>
      </c>
      <c r="I12" s="206">
        <v>49500</v>
      </c>
      <c r="J12" s="206">
        <v>57750</v>
      </c>
      <c r="K12" s="206">
        <v>57750</v>
      </c>
      <c r="M12" s="144" t="str">
        <f t="shared" si="1"/>
        <v>313</v>
      </c>
      <c r="N12" s="144" t="str">
        <f t="shared" si="2"/>
        <v>31</v>
      </c>
      <c r="O12" s="144">
        <v>61</v>
      </c>
      <c r="P12" s="144" t="s">
        <v>117</v>
      </c>
      <c r="R12" s="144">
        <v>3212</v>
      </c>
      <c r="S12" s="144" t="s">
        <v>54</v>
      </c>
      <c r="U12" s="144" t="str">
        <f t="shared" si="6"/>
        <v>32</v>
      </c>
      <c r="V12" s="144" t="str">
        <f t="shared" si="7"/>
        <v>321</v>
      </c>
      <c r="X12" s="144" t="s">
        <v>74</v>
      </c>
      <c r="Y12" s="144" t="s">
        <v>75</v>
      </c>
    </row>
    <row r="13" spans="1:25">
      <c r="A13" s="211" t="s">
        <v>46</v>
      </c>
      <c r="B13" s="211" t="s">
        <v>47</v>
      </c>
      <c r="C13" s="208">
        <v>11</v>
      </c>
      <c r="D13" s="212" t="s">
        <v>48</v>
      </c>
      <c r="E13" s="213">
        <v>3211</v>
      </c>
      <c r="F13" s="214" t="s">
        <v>80</v>
      </c>
      <c r="G13" s="215" t="s">
        <v>424</v>
      </c>
      <c r="H13" s="211" t="str">
        <f t="shared" si="8"/>
        <v>PROGRAMSKO FINANCIRANJE JAVNIH VISOKIH UČILIŠTA</v>
      </c>
      <c r="I13" s="206">
        <v>866000</v>
      </c>
      <c r="J13" s="206">
        <v>896995</v>
      </c>
      <c r="K13" s="206">
        <v>890987</v>
      </c>
      <c r="M13" s="144" t="str">
        <f t="shared" si="1"/>
        <v>321</v>
      </c>
      <c r="N13" s="144" t="str">
        <f t="shared" si="2"/>
        <v>32</v>
      </c>
      <c r="O13" s="144">
        <v>71</v>
      </c>
      <c r="P13" s="144" t="s">
        <v>176</v>
      </c>
      <c r="R13" s="144">
        <v>3213</v>
      </c>
      <c r="S13" s="144" t="s">
        <v>99</v>
      </c>
      <c r="U13" s="144" t="str">
        <f t="shared" si="6"/>
        <v>32</v>
      </c>
      <c r="V13" s="144" t="str">
        <f t="shared" si="7"/>
        <v>321</v>
      </c>
      <c r="X13" s="144" t="s">
        <v>77</v>
      </c>
      <c r="Y13" s="144" t="s">
        <v>78</v>
      </c>
    </row>
    <row r="14" spans="1:25">
      <c r="A14" s="211" t="s">
        <v>46</v>
      </c>
      <c r="B14" s="211" t="s">
        <v>47</v>
      </c>
      <c r="C14" s="208">
        <v>11</v>
      </c>
      <c r="D14" s="212" t="s">
        <v>48</v>
      </c>
      <c r="E14" s="213">
        <v>3213</v>
      </c>
      <c r="F14" s="214" t="s">
        <v>99</v>
      </c>
      <c r="G14" s="215" t="s">
        <v>424</v>
      </c>
      <c r="H14" s="211" t="str">
        <f t="shared" si="8"/>
        <v>PROGRAMSKO FINANCIRANJE JAVNIH VISOKIH UČILIŠTA</v>
      </c>
      <c r="I14" s="206">
        <v>132371</v>
      </c>
      <c r="J14" s="206">
        <v>134427</v>
      </c>
      <c r="K14" s="206">
        <v>134558</v>
      </c>
      <c r="M14" s="144" t="str">
        <f t="shared" si="1"/>
        <v>321</v>
      </c>
      <c r="N14" s="144" t="str">
        <f t="shared" si="2"/>
        <v>32</v>
      </c>
      <c r="O14" s="144">
        <v>81</v>
      </c>
      <c r="P14" s="144" t="s">
        <v>58</v>
      </c>
      <c r="R14" s="144">
        <v>3214</v>
      </c>
      <c r="S14" s="144" t="s">
        <v>129</v>
      </c>
      <c r="U14" s="144" t="str">
        <f t="shared" si="6"/>
        <v>32</v>
      </c>
      <c r="V14" s="144" t="str">
        <f t="shared" si="7"/>
        <v>321</v>
      </c>
      <c r="X14" s="144" t="s">
        <v>145</v>
      </c>
      <c r="Y14" s="144" t="s">
        <v>146</v>
      </c>
    </row>
    <row r="15" spans="1:25">
      <c r="A15" s="211" t="s">
        <v>46</v>
      </c>
      <c r="B15" s="211" t="s">
        <v>47</v>
      </c>
      <c r="C15" s="208">
        <v>11</v>
      </c>
      <c r="D15" s="212" t="s">
        <v>48</v>
      </c>
      <c r="E15" s="246">
        <v>3214</v>
      </c>
      <c r="F15" s="247" t="s">
        <v>129</v>
      </c>
      <c r="G15" s="246" t="s">
        <v>424</v>
      </c>
      <c r="H15" s="211" t="str">
        <f t="shared" si="8"/>
        <v>PROGRAMSKO FINANCIRANJE JAVNIH VISOKIH UČILIŠTA</v>
      </c>
      <c r="I15" s="207"/>
      <c r="J15" s="207"/>
      <c r="K15" s="207"/>
      <c r="M15" s="144" t="str">
        <f t="shared" si="1"/>
        <v>321</v>
      </c>
      <c r="N15" s="144" t="str">
        <f t="shared" si="2"/>
        <v>32</v>
      </c>
      <c r="O15" s="144">
        <v>561</v>
      </c>
      <c r="P15" s="144" t="s">
        <v>113</v>
      </c>
      <c r="R15" s="144">
        <v>3221</v>
      </c>
      <c r="S15" s="144" t="s">
        <v>81</v>
      </c>
      <c r="U15" s="144" t="str">
        <f t="shared" si="6"/>
        <v>32</v>
      </c>
      <c r="V15" s="144" t="str">
        <f t="shared" si="7"/>
        <v>322</v>
      </c>
      <c r="X15" s="144" t="s">
        <v>422</v>
      </c>
      <c r="Y15" s="144" t="s">
        <v>423</v>
      </c>
    </row>
    <row r="16" spans="1:25">
      <c r="A16" s="211" t="s">
        <v>46</v>
      </c>
      <c r="B16" s="211" t="s">
        <v>47</v>
      </c>
      <c r="C16" s="208">
        <v>11</v>
      </c>
      <c r="D16" s="212" t="s">
        <v>48</v>
      </c>
      <c r="E16" s="246">
        <v>3221</v>
      </c>
      <c r="F16" s="247" t="s">
        <v>81</v>
      </c>
      <c r="G16" s="246" t="s">
        <v>424</v>
      </c>
      <c r="H16" s="211" t="str">
        <f t="shared" si="8"/>
        <v>PROGRAMSKO FINANCIRANJE JAVNIH VISOKIH UČILIŠTA</v>
      </c>
      <c r="I16" s="206">
        <v>470581</v>
      </c>
      <c r="J16" s="206">
        <v>476031</v>
      </c>
      <c r="K16" s="206">
        <v>476946</v>
      </c>
      <c r="M16" s="144" t="str">
        <f t="shared" si="1"/>
        <v>322</v>
      </c>
      <c r="N16" s="144" t="str">
        <f t="shared" si="2"/>
        <v>32</v>
      </c>
      <c r="O16" s="144">
        <v>563</v>
      </c>
      <c r="P16" s="144" t="s">
        <v>115</v>
      </c>
      <c r="R16" s="144">
        <v>3222</v>
      </c>
      <c r="S16" s="144" t="s">
        <v>102</v>
      </c>
      <c r="U16" s="144" t="str">
        <f t="shared" si="6"/>
        <v>32</v>
      </c>
      <c r="V16" s="144" t="str">
        <f t="shared" si="7"/>
        <v>322</v>
      </c>
      <c r="X16" s="144" t="s">
        <v>424</v>
      </c>
      <c r="Y16" s="144" t="s">
        <v>425</v>
      </c>
    </row>
    <row r="17" spans="1:25">
      <c r="A17" s="211" t="s">
        <v>46</v>
      </c>
      <c r="B17" s="211" t="s">
        <v>47</v>
      </c>
      <c r="C17" s="208">
        <v>11</v>
      </c>
      <c r="D17" s="212" t="s">
        <v>48</v>
      </c>
      <c r="E17" s="248">
        <v>3222</v>
      </c>
      <c r="F17" s="247" t="s">
        <v>102</v>
      </c>
      <c r="G17" s="246" t="s">
        <v>424</v>
      </c>
      <c r="H17" s="211" t="str">
        <f t="shared" si="8"/>
        <v>PROGRAMSKO FINANCIRANJE JAVNIH VISOKIH UČILIŠTA</v>
      </c>
      <c r="I17" s="251">
        <v>0</v>
      </c>
      <c r="J17" s="251">
        <v>0</v>
      </c>
      <c r="K17" s="251">
        <v>0</v>
      </c>
      <c r="M17" s="144" t="str">
        <f t="shared" si="1"/>
        <v>322</v>
      </c>
      <c r="N17" s="144" t="str">
        <f t="shared" si="2"/>
        <v>32</v>
      </c>
      <c r="R17" s="144">
        <v>3223</v>
      </c>
      <c r="S17" s="144" t="s">
        <v>90</v>
      </c>
      <c r="U17" s="144" t="str">
        <f t="shared" si="6"/>
        <v>32</v>
      </c>
      <c r="V17" s="144" t="str">
        <f t="shared" si="7"/>
        <v>322</v>
      </c>
      <c r="X17" s="144" t="s">
        <v>426</v>
      </c>
      <c r="Y17" s="144" t="s">
        <v>427</v>
      </c>
    </row>
    <row r="18" spans="1:25">
      <c r="A18" s="211" t="s">
        <v>46</v>
      </c>
      <c r="B18" s="211" t="s">
        <v>47</v>
      </c>
      <c r="C18" s="208">
        <v>11</v>
      </c>
      <c r="D18" s="212" t="s">
        <v>48</v>
      </c>
      <c r="E18" s="246">
        <v>3223</v>
      </c>
      <c r="F18" s="247" t="s">
        <v>90</v>
      </c>
      <c r="G18" s="246" t="s">
        <v>424</v>
      </c>
      <c r="H18" s="211" t="str">
        <f t="shared" si="8"/>
        <v>PROGRAMSKO FINANCIRANJE JAVNIH VISOKIH UČILIŠTA</v>
      </c>
      <c r="I18" s="251">
        <v>1106900</v>
      </c>
      <c r="J18" s="251">
        <v>1140320</v>
      </c>
      <c r="K18" s="251">
        <v>1141547</v>
      </c>
      <c r="M18" s="144" t="str">
        <f t="shared" si="1"/>
        <v>322</v>
      </c>
      <c r="N18" s="144" t="str">
        <f t="shared" si="2"/>
        <v>32</v>
      </c>
      <c r="R18" s="144">
        <v>3224</v>
      </c>
      <c r="S18" s="144" t="s">
        <v>95</v>
      </c>
      <c r="U18" s="144" t="str">
        <f t="shared" si="6"/>
        <v>32</v>
      </c>
      <c r="V18" s="144" t="str">
        <f t="shared" si="7"/>
        <v>322</v>
      </c>
      <c r="X18" s="144" t="s">
        <v>428</v>
      </c>
      <c r="Y18" s="144" t="s">
        <v>429</v>
      </c>
    </row>
    <row r="19" spans="1:25">
      <c r="A19" s="211" t="s">
        <v>46</v>
      </c>
      <c r="B19" s="211" t="s">
        <v>47</v>
      </c>
      <c r="C19" s="208">
        <v>11</v>
      </c>
      <c r="D19" s="212" t="s">
        <v>48</v>
      </c>
      <c r="E19" s="213">
        <v>3224</v>
      </c>
      <c r="F19" s="214" t="s">
        <v>95</v>
      </c>
      <c r="G19" s="215" t="s">
        <v>424</v>
      </c>
      <c r="H19" s="211" t="str">
        <f t="shared" si="8"/>
        <v>PROGRAMSKO FINANCIRANJE JAVNIH VISOKIH UČILIŠTA</v>
      </c>
      <c r="I19" s="251">
        <v>51560</v>
      </c>
      <c r="J19" s="251">
        <v>52338</v>
      </c>
      <c r="K19" s="251">
        <v>52338</v>
      </c>
      <c r="M19" s="144" t="str">
        <f t="shared" si="1"/>
        <v>322</v>
      </c>
      <c r="N19" s="144" t="str">
        <f t="shared" si="2"/>
        <v>32</v>
      </c>
      <c r="R19" s="144">
        <v>3225</v>
      </c>
      <c r="S19" s="144" t="s">
        <v>103</v>
      </c>
      <c r="U19" s="144" t="str">
        <f t="shared" si="6"/>
        <v>32</v>
      </c>
      <c r="V19" s="144" t="str">
        <f t="shared" si="7"/>
        <v>322</v>
      </c>
      <c r="X19" s="144" t="s">
        <v>430</v>
      </c>
      <c r="Y19" s="144" t="s">
        <v>431</v>
      </c>
    </row>
    <row r="20" spans="1:25">
      <c r="A20" s="211" t="s">
        <v>46</v>
      </c>
      <c r="B20" s="211" t="s">
        <v>47</v>
      </c>
      <c r="C20" s="208">
        <v>11</v>
      </c>
      <c r="D20" s="212" t="s">
        <v>48</v>
      </c>
      <c r="E20" s="213">
        <v>3225</v>
      </c>
      <c r="F20" s="214" t="s">
        <v>103</v>
      </c>
      <c r="G20" s="215" t="s">
        <v>424</v>
      </c>
      <c r="H20" s="211" t="str">
        <f t="shared" si="8"/>
        <v>PROGRAMSKO FINANCIRANJE JAVNIH VISOKIH UČILIŠTA</v>
      </c>
      <c r="I20" s="206">
        <v>70000</v>
      </c>
      <c r="J20" s="206">
        <v>70698</v>
      </c>
      <c r="K20" s="206">
        <v>70780</v>
      </c>
      <c r="M20" s="144" t="str">
        <f t="shared" si="1"/>
        <v>322</v>
      </c>
      <c r="N20" s="144" t="str">
        <f t="shared" si="2"/>
        <v>32</v>
      </c>
      <c r="R20" s="144">
        <v>3226</v>
      </c>
      <c r="S20" s="144" t="s">
        <v>178</v>
      </c>
      <c r="U20" s="144" t="str">
        <f t="shared" si="6"/>
        <v>32</v>
      </c>
      <c r="V20" s="144" t="str">
        <f t="shared" si="7"/>
        <v>322</v>
      </c>
      <c r="X20" s="144" t="s">
        <v>432</v>
      </c>
      <c r="Y20" s="144" t="s">
        <v>433</v>
      </c>
    </row>
    <row r="21" spans="1:25">
      <c r="A21" s="211" t="s">
        <v>46</v>
      </c>
      <c r="B21" s="211" t="s">
        <v>47</v>
      </c>
      <c r="C21" s="208">
        <v>11</v>
      </c>
      <c r="D21" s="212" t="s">
        <v>48</v>
      </c>
      <c r="E21" s="213">
        <v>3227</v>
      </c>
      <c r="F21" s="214" t="s">
        <v>120</v>
      </c>
      <c r="G21" s="215" t="s">
        <v>424</v>
      </c>
      <c r="H21" s="211" t="str">
        <f t="shared" si="8"/>
        <v>PROGRAMSKO FINANCIRANJE JAVNIH VISOKIH UČILIŠTA</v>
      </c>
      <c r="I21" s="206">
        <v>7500</v>
      </c>
      <c r="J21" s="206">
        <v>7552</v>
      </c>
      <c r="K21" s="206">
        <v>7573</v>
      </c>
      <c r="M21" s="144" t="str">
        <f t="shared" si="1"/>
        <v>322</v>
      </c>
      <c r="N21" s="144" t="str">
        <f t="shared" si="2"/>
        <v>32</v>
      </c>
      <c r="R21" s="144">
        <v>3227</v>
      </c>
      <c r="S21" s="144" t="s">
        <v>120</v>
      </c>
      <c r="U21" s="144" t="str">
        <f t="shared" si="6"/>
        <v>32</v>
      </c>
      <c r="V21" s="144" t="str">
        <f t="shared" si="7"/>
        <v>322</v>
      </c>
      <c r="X21" s="144" t="s">
        <v>94</v>
      </c>
      <c r="Y21" s="144" t="s">
        <v>434</v>
      </c>
    </row>
    <row r="22" spans="1:25">
      <c r="A22" s="211" t="s">
        <v>46</v>
      </c>
      <c r="B22" s="211" t="s">
        <v>47</v>
      </c>
      <c r="C22" s="208">
        <v>11</v>
      </c>
      <c r="D22" s="212" t="s">
        <v>48</v>
      </c>
      <c r="E22" s="213">
        <v>3231</v>
      </c>
      <c r="F22" s="214" t="s">
        <v>104</v>
      </c>
      <c r="G22" s="215" t="s">
        <v>424</v>
      </c>
      <c r="H22" s="211" t="str">
        <f t="shared" si="8"/>
        <v>PROGRAMSKO FINANCIRANJE JAVNIH VISOKIH UČILIŠTA</v>
      </c>
      <c r="I22" s="206">
        <v>301900</v>
      </c>
      <c r="J22" s="206">
        <v>315998</v>
      </c>
      <c r="K22" s="206">
        <v>316194</v>
      </c>
      <c r="M22" s="144" t="str">
        <f t="shared" si="1"/>
        <v>323</v>
      </c>
      <c r="N22" s="144" t="str">
        <f t="shared" si="2"/>
        <v>32</v>
      </c>
      <c r="R22" s="144">
        <v>3231</v>
      </c>
      <c r="S22" s="144" t="s">
        <v>104</v>
      </c>
      <c r="U22" s="144" t="str">
        <f t="shared" si="6"/>
        <v>32</v>
      </c>
      <c r="V22" s="144" t="str">
        <f t="shared" si="7"/>
        <v>323</v>
      </c>
      <c r="X22" s="144" t="s">
        <v>119</v>
      </c>
      <c r="Y22" s="144" t="s">
        <v>435</v>
      </c>
    </row>
    <row r="23" spans="1:25">
      <c r="A23" s="211" t="s">
        <v>46</v>
      </c>
      <c r="B23" s="211" t="s">
        <v>47</v>
      </c>
      <c r="C23" s="208">
        <v>11</v>
      </c>
      <c r="D23" s="212" t="s">
        <v>48</v>
      </c>
      <c r="E23" s="213">
        <v>3232</v>
      </c>
      <c r="F23" s="214" t="s">
        <v>91</v>
      </c>
      <c r="G23" s="215" t="s">
        <v>424</v>
      </c>
      <c r="H23" s="211" t="str">
        <f t="shared" si="8"/>
        <v>PROGRAMSKO FINANCIRANJE JAVNIH VISOKIH UČILIŠTA</v>
      </c>
      <c r="I23" s="206">
        <v>1112500</v>
      </c>
      <c r="J23" s="206">
        <v>1184584</v>
      </c>
      <c r="K23" s="206">
        <v>1184829</v>
      </c>
      <c r="M23" s="144" t="str">
        <f t="shared" si="1"/>
        <v>323</v>
      </c>
      <c r="N23" s="144" t="str">
        <f t="shared" si="2"/>
        <v>32</v>
      </c>
      <c r="R23" s="144">
        <v>3232</v>
      </c>
      <c r="S23" s="144" t="s">
        <v>91</v>
      </c>
      <c r="U23" s="144" t="str">
        <f t="shared" si="6"/>
        <v>32</v>
      </c>
      <c r="V23" s="144" t="str">
        <f t="shared" si="7"/>
        <v>323</v>
      </c>
      <c r="X23" s="144" t="s">
        <v>125</v>
      </c>
      <c r="Y23" s="144" t="s">
        <v>436</v>
      </c>
    </row>
    <row r="24" spans="1:25">
      <c r="A24" s="211" t="s">
        <v>46</v>
      </c>
      <c r="B24" s="211" t="s">
        <v>47</v>
      </c>
      <c r="C24" s="208">
        <v>11</v>
      </c>
      <c r="D24" s="212" t="s">
        <v>48</v>
      </c>
      <c r="E24" s="213">
        <v>3233</v>
      </c>
      <c r="F24" s="214" t="s">
        <v>79</v>
      </c>
      <c r="G24" s="215" t="s">
        <v>424</v>
      </c>
      <c r="H24" s="211" t="str">
        <f t="shared" si="8"/>
        <v>PROGRAMSKO FINANCIRANJE JAVNIH VISOKIH UČILIŠTA</v>
      </c>
      <c r="I24" s="206">
        <v>97200</v>
      </c>
      <c r="J24" s="206">
        <v>97877</v>
      </c>
      <c r="K24" s="206">
        <v>98040</v>
      </c>
      <c r="M24" s="144" t="str">
        <f t="shared" si="1"/>
        <v>323</v>
      </c>
      <c r="N24" s="144" t="str">
        <f t="shared" si="2"/>
        <v>32</v>
      </c>
      <c r="R24" s="144">
        <v>3233</v>
      </c>
      <c r="S24" s="144" t="s">
        <v>79</v>
      </c>
      <c r="U24" s="144" t="str">
        <f t="shared" si="6"/>
        <v>32</v>
      </c>
      <c r="V24" s="144" t="str">
        <f t="shared" si="7"/>
        <v>323</v>
      </c>
      <c r="X24" s="144" t="s">
        <v>127</v>
      </c>
      <c r="Y24" s="144" t="s">
        <v>437</v>
      </c>
    </row>
    <row r="25" spans="1:25">
      <c r="A25" s="211" t="s">
        <v>46</v>
      </c>
      <c r="B25" s="211" t="s">
        <v>47</v>
      </c>
      <c r="C25" s="208">
        <v>11</v>
      </c>
      <c r="D25" s="212" t="s">
        <v>48</v>
      </c>
      <c r="E25" s="213">
        <v>3234</v>
      </c>
      <c r="F25" s="214" t="s">
        <v>92</v>
      </c>
      <c r="G25" s="215" t="s">
        <v>424</v>
      </c>
      <c r="H25" s="211" t="str">
        <f t="shared" si="8"/>
        <v>PROGRAMSKO FINANCIRANJE JAVNIH VISOKIH UČILIŠTA</v>
      </c>
      <c r="I25" s="206">
        <v>208400</v>
      </c>
      <c r="J25" s="206">
        <v>211174</v>
      </c>
      <c r="K25" s="206">
        <v>211411</v>
      </c>
      <c r="M25" s="144" t="str">
        <f t="shared" si="1"/>
        <v>323</v>
      </c>
      <c r="N25" s="144" t="str">
        <f t="shared" si="2"/>
        <v>32</v>
      </c>
      <c r="R25" s="144">
        <v>3234</v>
      </c>
      <c r="S25" s="144" t="s">
        <v>92</v>
      </c>
      <c r="U25" s="144" t="str">
        <f t="shared" si="6"/>
        <v>32</v>
      </c>
      <c r="V25" s="144" t="str">
        <f t="shared" si="7"/>
        <v>323</v>
      </c>
      <c r="X25" s="144" t="s">
        <v>133</v>
      </c>
      <c r="Y25" s="144" t="s">
        <v>438</v>
      </c>
    </row>
    <row r="26" spans="1:25">
      <c r="A26" s="211" t="s">
        <v>46</v>
      </c>
      <c r="B26" s="211" t="s">
        <v>47</v>
      </c>
      <c r="C26" s="208">
        <v>11</v>
      </c>
      <c r="D26" s="212" t="s">
        <v>48</v>
      </c>
      <c r="E26" s="213">
        <v>3235</v>
      </c>
      <c r="F26" s="214" t="s">
        <v>112</v>
      </c>
      <c r="G26" s="215" t="s">
        <v>424</v>
      </c>
      <c r="H26" s="211" t="str">
        <f t="shared" si="8"/>
        <v>PROGRAMSKO FINANCIRANJE JAVNIH VISOKIH UČILIŠTA</v>
      </c>
      <c r="I26" s="206">
        <v>668250</v>
      </c>
      <c r="J26" s="206">
        <v>669618</v>
      </c>
      <c r="K26" s="206">
        <v>669721</v>
      </c>
      <c r="M26" s="144" t="str">
        <f t="shared" si="1"/>
        <v>323</v>
      </c>
      <c r="N26" s="144" t="str">
        <f t="shared" si="2"/>
        <v>32</v>
      </c>
      <c r="R26" s="144">
        <v>3235</v>
      </c>
      <c r="S26" s="144" t="s">
        <v>112</v>
      </c>
      <c r="U26" s="144" t="str">
        <f t="shared" si="6"/>
        <v>32</v>
      </c>
      <c r="V26" s="144" t="str">
        <f t="shared" si="7"/>
        <v>323</v>
      </c>
      <c r="X26" s="144" t="s">
        <v>135</v>
      </c>
      <c r="Y26" s="144" t="s">
        <v>439</v>
      </c>
    </row>
    <row r="27" spans="1:25">
      <c r="A27" s="211" t="s">
        <v>46</v>
      </c>
      <c r="B27" s="211" t="s">
        <v>47</v>
      </c>
      <c r="C27" s="208">
        <v>11</v>
      </c>
      <c r="D27" s="212" t="s">
        <v>48</v>
      </c>
      <c r="E27" s="213">
        <v>3236</v>
      </c>
      <c r="F27" s="214" t="s">
        <v>55</v>
      </c>
      <c r="G27" s="215" t="s">
        <v>424</v>
      </c>
      <c r="H27" s="211" t="str">
        <f t="shared" si="8"/>
        <v>PROGRAMSKO FINANCIRANJE JAVNIH VISOKIH UČILIŠTA</v>
      </c>
      <c r="I27" s="206">
        <v>20000</v>
      </c>
      <c r="J27" s="206">
        <v>20000</v>
      </c>
      <c r="K27" s="206">
        <v>20000</v>
      </c>
      <c r="M27" s="144" t="str">
        <f t="shared" si="1"/>
        <v>323</v>
      </c>
      <c r="N27" s="144" t="str">
        <f t="shared" si="2"/>
        <v>32</v>
      </c>
      <c r="R27" s="144">
        <v>3236</v>
      </c>
      <c r="S27" s="144" t="s">
        <v>55</v>
      </c>
      <c r="U27" s="144" t="str">
        <f t="shared" si="6"/>
        <v>32</v>
      </c>
      <c r="V27" s="144" t="str">
        <f t="shared" si="7"/>
        <v>323</v>
      </c>
      <c r="X27" s="144" t="s">
        <v>137</v>
      </c>
      <c r="Y27" s="144" t="s">
        <v>440</v>
      </c>
    </row>
    <row r="28" spans="1:25">
      <c r="A28" s="211" t="s">
        <v>46</v>
      </c>
      <c r="B28" s="211" t="s">
        <v>47</v>
      </c>
      <c r="C28" s="208">
        <v>11</v>
      </c>
      <c r="D28" s="212" t="s">
        <v>48</v>
      </c>
      <c r="E28" s="213">
        <v>3237</v>
      </c>
      <c r="F28" s="214" t="s">
        <v>68</v>
      </c>
      <c r="G28" s="215" t="s">
        <v>424</v>
      </c>
      <c r="H28" s="211" t="str">
        <f t="shared" si="8"/>
        <v>PROGRAMSKO FINANCIRANJE JAVNIH VISOKIH UČILIŠTA</v>
      </c>
      <c r="I28" s="206">
        <v>651807.08869178966</v>
      </c>
      <c r="J28" s="206">
        <v>1830445</v>
      </c>
      <c r="K28" s="206">
        <v>1832830</v>
      </c>
      <c r="M28" s="144" t="str">
        <f t="shared" si="1"/>
        <v>323</v>
      </c>
      <c r="N28" s="144" t="str">
        <f t="shared" si="2"/>
        <v>32</v>
      </c>
      <c r="R28" s="144">
        <v>3237</v>
      </c>
      <c r="S28" s="144" t="s">
        <v>68</v>
      </c>
      <c r="U28" s="144" t="str">
        <f t="shared" si="6"/>
        <v>32</v>
      </c>
      <c r="V28" s="144" t="str">
        <f t="shared" si="7"/>
        <v>323</v>
      </c>
      <c r="X28" s="144" t="s">
        <v>141</v>
      </c>
      <c r="Y28" s="144" t="s">
        <v>441</v>
      </c>
    </row>
    <row r="29" spans="1:25">
      <c r="A29" s="211" t="s">
        <v>46</v>
      </c>
      <c r="B29" s="211" t="s">
        <v>47</v>
      </c>
      <c r="C29" s="208">
        <v>11</v>
      </c>
      <c r="D29" s="212" t="s">
        <v>48</v>
      </c>
      <c r="E29" s="213">
        <v>3238</v>
      </c>
      <c r="F29" s="214" t="s">
        <v>105</v>
      </c>
      <c r="G29" s="215" t="s">
        <v>424</v>
      </c>
      <c r="H29" s="211" t="str">
        <f t="shared" si="8"/>
        <v>PROGRAMSKO FINANCIRANJE JAVNIH VISOKIH UČILIŠTA</v>
      </c>
      <c r="I29" s="206">
        <v>102740</v>
      </c>
      <c r="J29" s="206">
        <v>102784</v>
      </c>
      <c r="K29" s="206">
        <v>102792</v>
      </c>
      <c r="M29" s="144" t="str">
        <f t="shared" si="1"/>
        <v>323</v>
      </c>
      <c r="N29" s="144" t="str">
        <f t="shared" si="2"/>
        <v>32</v>
      </c>
      <c r="R29" s="144">
        <v>3238</v>
      </c>
      <c r="S29" s="144" t="s">
        <v>105</v>
      </c>
      <c r="U29" s="144" t="str">
        <f t="shared" si="6"/>
        <v>32</v>
      </c>
      <c r="V29" s="144" t="str">
        <f t="shared" si="7"/>
        <v>323</v>
      </c>
      <c r="X29" s="144" t="s">
        <v>147</v>
      </c>
      <c r="Y29" s="144" t="s">
        <v>442</v>
      </c>
    </row>
    <row r="30" spans="1:25">
      <c r="A30" s="211" t="s">
        <v>46</v>
      </c>
      <c r="B30" s="211" t="s">
        <v>47</v>
      </c>
      <c r="C30" s="208">
        <v>11</v>
      </c>
      <c r="D30" s="212" t="s">
        <v>48</v>
      </c>
      <c r="E30" s="213">
        <v>3239</v>
      </c>
      <c r="F30" s="214" t="s">
        <v>85</v>
      </c>
      <c r="G30" s="215" t="s">
        <v>424</v>
      </c>
      <c r="H30" s="211" t="str">
        <f t="shared" si="8"/>
        <v>PROGRAMSKO FINANCIRANJE JAVNIH VISOKIH UČILIŠTA</v>
      </c>
      <c r="I30" s="206">
        <v>751123</v>
      </c>
      <c r="J30" s="206">
        <v>751834</v>
      </c>
      <c r="K30" s="206">
        <v>751912</v>
      </c>
      <c r="M30" s="144" t="str">
        <f t="shared" si="1"/>
        <v>323</v>
      </c>
      <c r="N30" s="144" t="str">
        <f t="shared" si="2"/>
        <v>32</v>
      </c>
      <c r="R30" s="144">
        <v>3239</v>
      </c>
      <c r="S30" s="144" t="s">
        <v>85</v>
      </c>
      <c r="U30" s="144" t="str">
        <f t="shared" si="6"/>
        <v>32</v>
      </c>
      <c r="V30" s="144" t="str">
        <f t="shared" si="7"/>
        <v>323</v>
      </c>
      <c r="X30" s="144" t="s">
        <v>443</v>
      </c>
      <c r="Y30" s="144" t="s">
        <v>444</v>
      </c>
    </row>
    <row r="31" spans="1:25">
      <c r="A31" s="211" t="s">
        <v>46</v>
      </c>
      <c r="B31" s="211" t="s">
        <v>47</v>
      </c>
      <c r="C31" s="208">
        <v>11</v>
      </c>
      <c r="D31" s="212" t="s">
        <v>48</v>
      </c>
      <c r="E31" s="213">
        <v>3241</v>
      </c>
      <c r="F31" s="214" t="s">
        <v>82</v>
      </c>
      <c r="G31" s="215" t="s">
        <v>424</v>
      </c>
      <c r="H31" s="211" t="str">
        <f t="shared" si="8"/>
        <v>PROGRAMSKO FINANCIRANJE JAVNIH VISOKIH UČILIŠTA</v>
      </c>
      <c r="I31" s="206">
        <v>99500</v>
      </c>
      <c r="J31" s="206">
        <v>100105</v>
      </c>
      <c r="K31" s="206">
        <v>100105</v>
      </c>
      <c r="M31" s="144" t="str">
        <f t="shared" si="1"/>
        <v>324</v>
      </c>
      <c r="N31" s="144" t="str">
        <f t="shared" si="2"/>
        <v>32</v>
      </c>
      <c r="R31" s="144">
        <v>3241</v>
      </c>
      <c r="S31" s="144" t="s">
        <v>82</v>
      </c>
      <c r="U31" s="144" t="str">
        <f t="shared" si="6"/>
        <v>32</v>
      </c>
      <c r="V31" s="144" t="str">
        <f t="shared" si="7"/>
        <v>324</v>
      </c>
      <c r="X31" s="144" t="s">
        <v>148</v>
      </c>
      <c r="Y31" s="144" t="s">
        <v>445</v>
      </c>
    </row>
    <row r="32" spans="1:25">
      <c r="A32" s="211" t="s">
        <v>46</v>
      </c>
      <c r="B32" s="211" t="s">
        <v>47</v>
      </c>
      <c r="C32" s="208">
        <v>11</v>
      </c>
      <c r="D32" s="212" t="s">
        <v>48</v>
      </c>
      <c r="E32" s="213">
        <v>3292</v>
      </c>
      <c r="F32" s="214" t="s">
        <v>76</v>
      </c>
      <c r="G32" s="215" t="s">
        <v>424</v>
      </c>
      <c r="H32" s="211" t="str">
        <f t="shared" si="8"/>
        <v>PROGRAMSKO FINANCIRANJE JAVNIH VISOKIH UČILIŠTA</v>
      </c>
      <c r="I32" s="206">
        <v>15000</v>
      </c>
      <c r="J32" s="206">
        <v>15000</v>
      </c>
      <c r="K32" s="206">
        <v>15000</v>
      </c>
      <c r="M32" s="144" t="str">
        <f t="shared" si="1"/>
        <v>329</v>
      </c>
      <c r="N32" s="144" t="str">
        <f t="shared" si="2"/>
        <v>32</v>
      </c>
      <c r="R32" s="144">
        <v>3291</v>
      </c>
      <c r="S32" s="144" t="s">
        <v>83</v>
      </c>
      <c r="U32" s="144" t="str">
        <f t="shared" si="6"/>
        <v>32</v>
      </c>
      <c r="V32" s="144" t="str">
        <f t="shared" si="7"/>
        <v>329</v>
      </c>
      <c r="X32" s="144" t="s">
        <v>177</v>
      </c>
      <c r="Y32" s="144" t="s">
        <v>446</v>
      </c>
    </row>
    <row r="33" spans="1:25">
      <c r="A33" s="211" t="s">
        <v>46</v>
      </c>
      <c r="B33" s="211" t="s">
        <v>47</v>
      </c>
      <c r="C33" s="208">
        <v>11</v>
      </c>
      <c r="D33" s="212" t="s">
        <v>48</v>
      </c>
      <c r="E33" s="213">
        <v>3293</v>
      </c>
      <c r="F33" s="214" t="s">
        <v>86</v>
      </c>
      <c r="G33" s="215" t="s">
        <v>424</v>
      </c>
      <c r="H33" s="211" t="str">
        <f t="shared" si="8"/>
        <v>PROGRAMSKO FINANCIRANJE JAVNIH VISOKIH UČILIŠTA</v>
      </c>
      <c r="I33" s="206">
        <v>330000</v>
      </c>
      <c r="J33" s="206">
        <v>330000</v>
      </c>
      <c r="K33" s="206">
        <v>330000</v>
      </c>
      <c r="M33" s="144" t="str">
        <f t="shared" si="1"/>
        <v>329</v>
      </c>
      <c r="N33" s="144" t="str">
        <f t="shared" si="2"/>
        <v>32</v>
      </c>
      <c r="R33" s="144">
        <v>3292</v>
      </c>
      <c r="S33" s="144" t="s">
        <v>76</v>
      </c>
      <c r="U33" s="144" t="str">
        <f t="shared" si="6"/>
        <v>32</v>
      </c>
      <c r="V33" s="144" t="str">
        <f t="shared" si="7"/>
        <v>329</v>
      </c>
      <c r="X33" s="144" t="s">
        <v>180</v>
      </c>
      <c r="Y33" s="144" t="s">
        <v>447</v>
      </c>
    </row>
    <row r="34" spans="1:25">
      <c r="A34" s="211" t="s">
        <v>46</v>
      </c>
      <c r="B34" s="211" t="s">
        <v>47</v>
      </c>
      <c r="C34" s="208">
        <v>11</v>
      </c>
      <c r="D34" s="212" t="s">
        <v>48</v>
      </c>
      <c r="E34" s="213">
        <v>3294</v>
      </c>
      <c r="F34" s="214" t="s">
        <v>87</v>
      </c>
      <c r="G34" s="215" t="s">
        <v>424</v>
      </c>
      <c r="H34" s="211" t="str">
        <f t="shared" si="8"/>
        <v>PROGRAMSKO FINANCIRANJE JAVNIH VISOKIH UČILIŠTA</v>
      </c>
      <c r="I34" s="206">
        <v>102500</v>
      </c>
      <c r="J34" s="206">
        <v>102766</v>
      </c>
      <c r="K34" s="206">
        <v>102779</v>
      </c>
      <c r="M34" s="144" t="str">
        <f t="shared" si="1"/>
        <v>329</v>
      </c>
      <c r="N34" s="144" t="str">
        <f t="shared" si="2"/>
        <v>32</v>
      </c>
      <c r="R34" s="144">
        <v>3293</v>
      </c>
      <c r="S34" s="144" t="s">
        <v>86</v>
      </c>
      <c r="U34" s="144" t="str">
        <f t="shared" si="6"/>
        <v>32</v>
      </c>
      <c r="V34" s="144" t="str">
        <f t="shared" si="7"/>
        <v>329</v>
      </c>
      <c r="X34" s="144" t="s">
        <v>183</v>
      </c>
      <c r="Y34" s="144" t="s">
        <v>448</v>
      </c>
    </row>
    <row r="35" spans="1:25">
      <c r="A35" s="211" t="s">
        <v>46</v>
      </c>
      <c r="B35" s="211" t="s">
        <v>47</v>
      </c>
      <c r="C35" s="208">
        <v>11</v>
      </c>
      <c r="D35" s="212" t="s">
        <v>48</v>
      </c>
      <c r="E35" s="213">
        <v>3295</v>
      </c>
      <c r="F35" s="214" t="s">
        <v>56</v>
      </c>
      <c r="G35" s="215" t="s">
        <v>424</v>
      </c>
      <c r="H35" s="211" t="str">
        <f t="shared" si="8"/>
        <v>PROGRAMSKO FINANCIRANJE JAVNIH VISOKIH UČILIŠTA</v>
      </c>
      <c r="I35" s="206">
        <v>90000</v>
      </c>
      <c r="J35" s="206">
        <v>90000</v>
      </c>
      <c r="K35" s="206">
        <v>90000</v>
      </c>
      <c r="M35" s="144" t="str">
        <f t="shared" si="1"/>
        <v>329</v>
      </c>
      <c r="N35" s="144" t="str">
        <f t="shared" si="2"/>
        <v>32</v>
      </c>
      <c r="R35" s="144">
        <v>3293</v>
      </c>
      <c r="S35" s="144" t="s">
        <v>134</v>
      </c>
      <c r="U35" s="144" t="str">
        <f t="shared" si="6"/>
        <v>32</v>
      </c>
      <c r="V35" s="144" t="str">
        <f t="shared" si="7"/>
        <v>329</v>
      </c>
      <c r="X35" s="144" t="s">
        <v>187</v>
      </c>
      <c r="Y35" s="144" t="s">
        <v>449</v>
      </c>
    </row>
    <row r="36" spans="1:25">
      <c r="A36" s="211" t="s">
        <v>46</v>
      </c>
      <c r="B36" s="211" t="s">
        <v>47</v>
      </c>
      <c r="C36" s="208">
        <v>11</v>
      </c>
      <c r="D36" s="212" t="s">
        <v>48</v>
      </c>
      <c r="E36" s="213">
        <v>3299</v>
      </c>
      <c r="F36" s="214" t="s">
        <v>59</v>
      </c>
      <c r="G36" s="215" t="s">
        <v>424</v>
      </c>
      <c r="H36" s="211" t="str">
        <f t="shared" si="8"/>
        <v>PROGRAMSKO FINANCIRANJE JAVNIH VISOKIH UČILIŠTA</v>
      </c>
      <c r="I36" s="206">
        <v>801000</v>
      </c>
      <c r="J36" s="206">
        <v>808690</v>
      </c>
      <c r="K36" s="206">
        <v>808772</v>
      </c>
      <c r="M36" s="144" t="str">
        <f t="shared" si="1"/>
        <v>329</v>
      </c>
      <c r="N36" s="144" t="str">
        <f t="shared" si="2"/>
        <v>32</v>
      </c>
      <c r="R36" s="144">
        <v>3294</v>
      </c>
      <c r="S36" s="144" t="s">
        <v>87</v>
      </c>
      <c r="U36" s="144" t="str">
        <f t="shared" si="6"/>
        <v>32</v>
      </c>
      <c r="V36" s="144" t="str">
        <f t="shared" si="7"/>
        <v>329</v>
      </c>
      <c r="X36" s="144" t="s">
        <v>188</v>
      </c>
      <c r="Y36" s="144" t="s">
        <v>450</v>
      </c>
    </row>
    <row r="37" spans="1:25">
      <c r="A37" s="211" t="s">
        <v>46</v>
      </c>
      <c r="B37" s="211" t="s">
        <v>47</v>
      </c>
      <c r="C37" s="208">
        <v>11</v>
      </c>
      <c r="D37" s="212" t="s">
        <v>48</v>
      </c>
      <c r="E37" s="213">
        <v>3431</v>
      </c>
      <c r="F37" s="214" t="s">
        <v>84</v>
      </c>
      <c r="G37" s="215" t="s">
        <v>424</v>
      </c>
      <c r="H37" s="211" t="str">
        <f t="shared" si="8"/>
        <v>PROGRAMSKO FINANCIRANJE JAVNIH VISOKIH UČILIŠTA</v>
      </c>
      <c r="I37" s="206">
        <v>85446</v>
      </c>
      <c r="J37" s="206">
        <v>85862</v>
      </c>
      <c r="K37" s="206">
        <v>85886</v>
      </c>
      <c r="M37" s="144" t="str">
        <f t="shared" si="1"/>
        <v>343</v>
      </c>
      <c r="N37" s="144" t="str">
        <f t="shared" si="2"/>
        <v>34</v>
      </c>
      <c r="R37" s="144">
        <v>3295</v>
      </c>
      <c r="S37" s="144" t="s">
        <v>56</v>
      </c>
      <c r="U37" s="144" t="str">
        <f t="shared" si="6"/>
        <v>32</v>
      </c>
      <c r="V37" s="144" t="str">
        <f t="shared" si="7"/>
        <v>329</v>
      </c>
      <c r="X37" s="144" t="s">
        <v>190</v>
      </c>
      <c r="Y37" s="144" t="s">
        <v>451</v>
      </c>
    </row>
    <row r="38" spans="1:25">
      <c r="A38" s="211" t="s">
        <v>46</v>
      </c>
      <c r="B38" s="211" t="s">
        <v>47</v>
      </c>
      <c r="C38" s="208">
        <v>11</v>
      </c>
      <c r="D38" s="212" t="s">
        <v>48</v>
      </c>
      <c r="E38" s="213">
        <v>3432</v>
      </c>
      <c r="F38" s="214" t="s">
        <v>100</v>
      </c>
      <c r="G38" s="215" t="s">
        <v>424</v>
      </c>
      <c r="H38" s="211" t="str">
        <f t="shared" si="8"/>
        <v>PROGRAMSKO FINANCIRANJE JAVNIH VISOKIH UČILIŠTA</v>
      </c>
      <c r="I38" s="206">
        <v>7600</v>
      </c>
      <c r="J38" s="206">
        <v>7614</v>
      </c>
      <c r="K38" s="206">
        <v>7614</v>
      </c>
      <c r="M38" s="144" t="str">
        <f t="shared" si="1"/>
        <v>343</v>
      </c>
      <c r="N38" s="144" t="str">
        <f t="shared" si="2"/>
        <v>34</v>
      </c>
      <c r="R38" s="144">
        <v>3296</v>
      </c>
      <c r="S38" s="144" t="s">
        <v>151</v>
      </c>
      <c r="U38" s="144" t="str">
        <f t="shared" si="6"/>
        <v>32</v>
      </c>
      <c r="V38" s="144" t="str">
        <f t="shared" si="7"/>
        <v>329</v>
      </c>
      <c r="X38" s="144" t="s">
        <v>196</v>
      </c>
      <c r="Y38" s="144" t="s">
        <v>452</v>
      </c>
    </row>
    <row r="39" spans="1:25">
      <c r="A39" s="211" t="s">
        <v>46</v>
      </c>
      <c r="B39" s="211" t="s">
        <v>47</v>
      </c>
      <c r="C39" s="208">
        <v>11</v>
      </c>
      <c r="D39" s="212" t="s">
        <v>48</v>
      </c>
      <c r="E39" s="213">
        <v>3434</v>
      </c>
      <c r="F39" s="214" t="s">
        <v>69</v>
      </c>
      <c r="G39" s="215" t="s">
        <v>424</v>
      </c>
      <c r="H39" s="211" t="str">
        <f t="shared" si="8"/>
        <v>PROGRAMSKO FINANCIRANJE JAVNIH VISOKIH UČILIŠTA</v>
      </c>
      <c r="I39" s="206">
        <v>500</v>
      </c>
      <c r="J39" s="206">
        <v>500</v>
      </c>
      <c r="K39" s="206">
        <v>500</v>
      </c>
      <c r="M39" s="144" t="str">
        <f t="shared" si="1"/>
        <v>343</v>
      </c>
      <c r="N39" s="144" t="str">
        <f t="shared" si="2"/>
        <v>34</v>
      </c>
      <c r="R39" s="144">
        <v>3299</v>
      </c>
      <c r="S39" s="144" t="s">
        <v>59</v>
      </c>
      <c r="U39" s="144" t="str">
        <f t="shared" si="6"/>
        <v>32</v>
      </c>
      <c r="V39" s="144" t="str">
        <f t="shared" si="7"/>
        <v>329</v>
      </c>
      <c r="X39" s="144" t="s">
        <v>197</v>
      </c>
      <c r="Y39" s="144" t="s">
        <v>453</v>
      </c>
    </row>
    <row r="40" spans="1:25">
      <c r="A40" s="211" t="s">
        <v>46</v>
      </c>
      <c r="B40" s="211" t="s">
        <v>47</v>
      </c>
      <c r="C40" s="208">
        <v>11</v>
      </c>
      <c r="D40" s="212" t="s">
        <v>48</v>
      </c>
      <c r="E40" s="213">
        <v>3721</v>
      </c>
      <c r="F40" s="214" t="s">
        <v>67</v>
      </c>
      <c r="G40" s="215" t="s">
        <v>424</v>
      </c>
      <c r="H40" s="211" t="str">
        <f t="shared" si="8"/>
        <v>PROGRAMSKO FINANCIRANJE JAVNIH VISOKIH UČILIŠTA</v>
      </c>
      <c r="I40" s="206">
        <v>1450000</v>
      </c>
      <c r="J40" s="206">
        <v>1460000</v>
      </c>
      <c r="K40" s="206">
        <v>1460000</v>
      </c>
      <c r="M40" s="144" t="str">
        <f t="shared" si="1"/>
        <v>372</v>
      </c>
      <c r="N40" s="144" t="str">
        <f t="shared" si="2"/>
        <v>37</v>
      </c>
      <c r="R40" s="144">
        <v>3411</v>
      </c>
      <c r="S40" s="144" t="s">
        <v>189</v>
      </c>
      <c r="U40" s="144" t="str">
        <f t="shared" si="6"/>
        <v>34</v>
      </c>
      <c r="V40" s="144" t="str">
        <f t="shared" si="7"/>
        <v>341</v>
      </c>
      <c r="X40" s="144" t="s">
        <v>454</v>
      </c>
      <c r="Y40" s="144" t="s">
        <v>455</v>
      </c>
    </row>
    <row r="41" spans="1:25">
      <c r="A41" s="211" t="s">
        <v>46</v>
      </c>
      <c r="B41" s="211" t="s">
        <v>47</v>
      </c>
      <c r="C41" s="208">
        <v>11</v>
      </c>
      <c r="D41" s="212" t="s">
        <v>48</v>
      </c>
      <c r="E41" s="213">
        <v>4123</v>
      </c>
      <c r="F41" s="214" t="s">
        <v>131</v>
      </c>
      <c r="G41" s="215" t="s">
        <v>424</v>
      </c>
      <c r="H41" s="211" t="str">
        <f t="shared" si="8"/>
        <v>PROGRAMSKO FINANCIRANJE JAVNIH VISOKIH UČILIŠTA</v>
      </c>
      <c r="I41" s="206">
        <v>100000</v>
      </c>
      <c r="J41" s="206">
        <v>100000</v>
      </c>
      <c r="K41" s="206">
        <v>100000</v>
      </c>
      <c r="M41" s="144" t="str">
        <f t="shared" si="1"/>
        <v>412</v>
      </c>
      <c r="N41" s="144" t="str">
        <f t="shared" si="2"/>
        <v>41</v>
      </c>
      <c r="R41" s="144">
        <v>3422</v>
      </c>
      <c r="S41" s="144" t="s">
        <v>152</v>
      </c>
      <c r="U41" s="144" t="str">
        <f t="shared" si="6"/>
        <v>34</v>
      </c>
      <c r="V41" s="144" t="str">
        <f t="shared" si="7"/>
        <v>342</v>
      </c>
      <c r="X41" s="144" t="s">
        <v>270</v>
      </c>
      <c r="Y41" s="144" t="s">
        <v>456</v>
      </c>
    </row>
    <row r="42" spans="1:25">
      <c r="A42" s="211" t="s">
        <v>46</v>
      </c>
      <c r="B42" s="211" t="s">
        <v>47</v>
      </c>
      <c r="C42" s="208">
        <v>11</v>
      </c>
      <c r="D42" s="212" t="s">
        <v>48</v>
      </c>
      <c r="E42" s="213">
        <v>4221</v>
      </c>
      <c r="F42" s="214" t="s">
        <v>97</v>
      </c>
      <c r="G42" s="215" t="s">
        <v>424</v>
      </c>
      <c r="H42" s="211" t="str">
        <f t="shared" si="8"/>
        <v>PROGRAMSKO FINANCIRANJE JAVNIH VISOKIH UČILIŠTA</v>
      </c>
      <c r="I42" s="206">
        <v>500519</v>
      </c>
      <c r="J42" s="206">
        <v>502685</v>
      </c>
      <c r="K42" s="206">
        <v>452685</v>
      </c>
      <c r="M42" s="144" t="str">
        <f t="shared" si="1"/>
        <v>422</v>
      </c>
      <c r="N42" s="144" t="str">
        <f t="shared" si="2"/>
        <v>42</v>
      </c>
      <c r="R42" s="144">
        <v>3423</v>
      </c>
      <c r="S42" s="144" t="s">
        <v>152</v>
      </c>
      <c r="U42" s="144" t="str">
        <f t="shared" ref="U42:U73" si="9">LEFT(R42,2)</f>
        <v>34</v>
      </c>
      <c r="V42" s="144" t="str">
        <f t="shared" ref="V42:V73" si="10">LEFT(R42,3)</f>
        <v>342</v>
      </c>
      <c r="X42" s="144" t="s">
        <v>457</v>
      </c>
      <c r="Y42" s="144" t="s">
        <v>458</v>
      </c>
    </row>
    <row r="43" spans="1:25">
      <c r="A43" s="211" t="s">
        <v>46</v>
      </c>
      <c r="B43" s="211" t="s">
        <v>47</v>
      </c>
      <c r="C43" s="208">
        <v>11</v>
      </c>
      <c r="D43" s="212" t="s">
        <v>48</v>
      </c>
      <c r="E43" s="213">
        <v>4222</v>
      </c>
      <c r="F43" s="214" t="s">
        <v>108</v>
      </c>
      <c r="G43" s="215" t="s">
        <v>424</v>
      </c>
      <c r="H43" s="211" t="str">
        <f t="shared" si="8"/>
        <v>PROGRAMSKO FINANCIRANJE JAVNIH VISOKIH UČILIŠTA</v>
      </c>
      <c r="I43" s="206">
        <v>30000</v>
      </c>
      <c r="J43" s="206"/>
      <c r="K43" s="206"/>
      <c r="M43" s="144" t="str">
        <f t="shared" si="1"/>
        <v>422</v>
      </c>
      <c r="N43" s="144" t="str">
        <f t="shared" si="2"/>
        <v>42</v>
      </c>
      <c r="R43" s="144">
        <v>3427</v>
      </c>
      <c r="S43" s="144" t="s">
        <v>191</v>
      </c>
      <c r="U43" s="144" t="str">
        <f t="shared" si="9"/>
        <v>34</v>
      </c>
      <c r="V43" s="144" t="str">
        <f t="shared" si="10"/>
        <v>342</v>
      </c>
      <c r="X43" s="144" t="s">
        <v>459</v>
      </c>
      <c r="Y43" s="144" t="s">
        <v>460</v>
      </c>
    </row>
    <row r="44" spans="1:25">
      <c r="A44" s="211" t="s">
        <v>46</v>
      </c>
      <c r="B44" s="211" t="s">
        <v>47</v>
      </c>
      <c r="C44" s="208">
        <v>11</v>
      </c>
      <c r="D44" s="212" t="s">
        <v>48</v>
      </c>
      <c r="E44" s="213">
        <v>4223</v>
      </c>
      <c r="F44" s="214" t="s">
        <v>121</v>
      </c>
      <c r="G44" s="215" t="s">
        <v>424</v>
      </c>
      <c r="H44" s="211" t="str">
        <f t="shared" si="8"/>
        <v>PROGRAMSKO FINANCIRANJE JAVNIH VISOKIH UČILIŠTA</v>
      </c>
      <c r="I44" s="206">
        <v>20000</v>
      </c>
      <c r="J44" s="206"/>
      <c r="K44" s="206"/>
      <c r="M44" s="144" t="str">
        <f t="shared" si="1"/>
        <v>422</v>
      </c>
      <c r="N44" s="144" t="str">
        <f t="shared" si="2"/>
        <v>42</v>
      </c>
      <c r="R44" s="144">
        <v>3431</v>
      </c>
      <c r="S44" s="144" t="s">
        <v>84</v>
      </c>
      <c r="U44" s="144" t="str">
        <f t="shared" si="9"/>
        <v>34</v>
      </c>
      <c r="V44" s="144" t="str">
        <f t="shared" si="10"/>
        <v>343</v>
      </c>
      <c r="X44" s="144" t="s">
        <v>461</v>
      </c>
      <c r="Y44" s="144" t="s">
        <v>462</v>
      </c>
    </row>
    <row r="45" spans="1:25">
      <c r="A45" s="211" t="s">
        <v>46</v>
      </c>
      <c r="B45" s="211" t="s">
        <v>47</v>
      </c>
      <c r="C45" s="208">
        <v>11</v>
      </c>
      <c r="D45" s="212" t="s">
        <v>48</v>
      </c>
      <c r="E45" s="213">
        <v>4224</v>
      </c>
      <c r="F45" s="214" t="s">
        <v>114</v>
      </c>
      <c r="G45" s="215" t="s">
        <v>424</v>
      </c>
      <c r="H45" s="211" t="str">
        <f t="shared" si="8"/>
        <v>PROGRAMSKO FINANCIRANJE JAVNIH VISOKIH UČILIŠTA</v>
      </c>
      <c r="I45" s="206">
        <v>60000</v>
      </c>
      <c r="J45" s="206">
        <v>61320</v>
      </c>
      <c r="K45" s="206">
        <v>61402</v>
      </c>
      <c r="M45" s="144" t="str">
        <f t="shared" si="1"/>
        <v>422</v>
      </c>
      <c r="N45" s="144" t="str">
        <f t="shared" si="2"/>
        <v>42</v>
      </c>
      <c r="R45" s="144">
        <v>3432</v>
      </c>
      <c r="S45" s="144" t="s">
        <v>100</v>
      </c>
      <c r="U45" s="144" t="str">
        <f t="shared" si="9"/>
        <v>34</v>
      </c>
      <c r="V45" s="144" t="str">
        <f t="shared" si="10"/>
        <v>343</v>
      </c>
      <c r="X45" s="144" t="s">
        <v>463</v>
      </c>
      <c r="Y45" s="144" t="s">
        <v>464</v>
      </c>
    </row>
    <row r="46" spans="1:25">
      <c r="A46" s="211" t="s">
        <v>46</v>
      </c>
      <c r="B46" s="211" t="s">
        <v>47</v>
      </c>
      <c r="C46" s="208">
        <v>11</v>
      </c>
      <c r="D46" s="212" t="s">
        <v>48</v>
      </c>
      <c r="E46" s="213">
        <v>4225</v>
      </c>
      <c r="F46" s="214" t="s">
        <v>118</v>
      </c>
      <c r="G46" s="215" t="s">
        <v>424</v>
      </c>
      <c r="H46" s="211" t="str">
        <f t="shared" si="8"/>
        <v>PROGRAMSKO FINANCIRANJE JAVNIH VISOKIH UČILIŠTA</v>
      </c>
      <c r="I46" s="206">
        <v>29232</v>
      </c>
      <c r="J46" s="206">
        <v>29880</v>
      </c>
      <c r="K46" s="206">
        <v>29880</v>
      </c>
      <c r="M46" s="144" t="str">
        <f t="shared" si="1"/>
        <v>422</v>
      </c>
      <c r="N46" s="144" t="str">
        <f t="shared" si="2"/>
        <v>42</v>
      </c>
      <c r="R46" s="144">
        <v>3433</v>
      </c>
      <c r="S46" s="144" t="s">
        <v>139</v>
      </c>
      <c r="U46" s="144" t="str">
        <f t="shared" si="9"/>
        <v>34</v>
      </c>
      <c r="V46" s="144" t="str">
        <f t="shared" si="10"/>
        <v>343</v>
      </c>
      <c r="X46" s="144" t="s">
        <v>465</v>
      </c>
      <c r="Y46" s="144" t="s">
        <v>466</v>
      </c>
    </row>
    <row r="47" spans="1:25">
      <c r="A47" s="211" t="s">
        <v>46</v>
      </c>
      <c r="B47" s="211" t="s">
        <v>47</v>
      </c>
      <c r="C47" s="208">
        <v>11</v>
      </c>
      <c r="D47" s="212" t="s">
        <v>48</v>
      </c>
      <c r="E47" s="213">
        <v>4227</v>
      </c>
      <c r="F47" s="214" t="s">
        <v>132</v>
      </c>
      <c r="G47" s="215" t="s">
        <v>424</v>
      </c>
      <c r="H47" s="211" t="str">
        <f t="shared" si="8"/>
        <v>PROGRAMSKO FINANCIRANJE JAVNIH VISOKIH UČILIŠTA</v>
      </c>
      <c r="I47" s="206">
        <v>40000</v>
      </c>
      <c r="J47" s="206">
        <v>40000</v>
      </c>
      <c r="K47" s="206">
        <v>40000</v>
      </c>
      <c r="M47" s="144" t="str">
        <f t="shared" si="1"/>
        <v>422</v>
      </c>
      <c r="N47" s="144" t="str">
        <f t="shared" si="2"/>
        <v>42</v>
      </c>
      <c r="R47" s="144">
        <v>3434</v>
      </c>
      <c r="S47" s="144" t="s">
        <v>69</v>
      </c>
      <c r="U47" s="144" t="str">
        <f t="shared" si="9"/>
        <v>34</v>
      </c>
      <c r="V47" s="144" t="str">
        <f t="shared" si="10"/>
        <v>343</v>
      </c>
      <c r="X47" s="144" t="s">
        <v>467</v>
      </c>
      <c r="Y47" s="144" t="s">
        <v>468</v>
      </c>
    </row>
    <row r="48" spans="1:25">
      <c r="A48" s="211" t="s">
        <v>46</v>
      </c>
      <c r="B48" s="211" t="s">
        <v>47</v>
      </c>
      <c r="C48" s="208">
        <v>11</v>
      </c>
      <c r="D48" s="212" t="s">
        <v>48</v>
      </c>
      <c r="E48" s="213">
        <v>4241</v>
      </c>
      <c r="F48" s="214" t="s">
        <v>109</v>
      </c>
      <c r="G48" s="215" t="s">
        <v>424</v>
      </c>
      <c r="H48" s="211" t="str">
        <f t="shared" si="8"/>
        <v>PROGRAMSKO FINANCIRANJE JAVNIH VISOKIH UČILIŠTA</v>
      </c>
      <c r="I48" s="206">
        <v>13000</v>
      </c>
      <c r="J48" s="206">
        <v>13287</v>
      </c>
      <c r="K48" s="206">
        <v>13303</v>
      </c>
      <c r="M48" s="144" t="str">
        <f t="shared" si="1"/>
        <v>424</v>
      </c>
      <c r="N48" s="144" t="str">
        <f t="shared" si="2"/>
        <v>42</v>
      </c>
      <c r="R48" s="144">
        <v>3511</v>
      </c>
      <c r="S48" s="144" t="s">
        <v>182</v>
      </c>
      <c r="U48" s="144" t="str">
        <f t="shared" si="9"/>
        <v>35</v>
      </c>
      <c r="V48" s="144" t="str">
        <f t="shared" si="10"/>
        <v>351</v>
      </c>
      <c r="X48" s="144" t="s">
        <v>469</v>
      </c>
      <c r="Y48" s="144" t="s">
        <v>470</v>
      </c>
    </row>
    <row r="49" spans="1:25">
      <c r="A49" s="211" t="s">
        <v>46</v>
      </c>
      <c r="B49" s="211" t="s">
        <v>47</v>
      </c>
      <c r="C49" s="208">
        <v>11</v>
      </c>
      <c r="D49" s="212" t="s">
        <v>48</v>
      </c>
      <c r="E49" s="213">
        <v>4262</v>
      </c>
      <c r="F49" s="214" t="s">
        <v>110</v>
      </c>
      <c r="G49" s="215" t="s">
        <v>424</v>
      </c>
      <c r="H49" s="211" t="str">
        <f t="shared" si="8"/>
        <v>PROGRAMSKO FINANCIRANJE JAVNIH VISOKIH UČILIŠTA</v>
      </c>
      <c r="I49" s="206">
        <v>5000</v>
      </c>
      <c r="J49" s="206">
        <v>5000</v>
      </c>
      <c r="K49" s="206">
        <v>5000</v>
      </c>
      <c r="M49" s="144" t="str">
        <f t="shared" si="1"/>
        <v>426</v>
      </c>
      <c r="N49" s="144" t="str">
        <f t="shared" si="2"/>
        <v>42</v>
      </c>
      <c r="R49" s="144">
        <v>3512</v>
      </c>
      <c r="S49" s="144" t="s">
        <v>184</v>
      </c>
      <c r="U49" s="144" t="str">
        <f t="shared" si="9"/>
        <v>35</v>
      </c>
      <c r="V49" s="144" t="str">
        <f t="shared" si="10"/>
        <v>351</v>
      </c>
      <c r="X49" s="144" t="s">
        <v>471</v>
      </c>
      <c r="Y49" s="144" t="s">
        <v>472</v>
      </c>
    </row>
    <row r="50" spans="1:25">
      <c r="A50" s="211" t="s">
        <v>46</v>
      </c>
      <c r="B50" s="211" t="s">
        <v>47</v>
      </c>
      <c r="C50" s="208">
        <v>11</v>
      </c>
      <c r="D50" s="212" t="s">
        <v>48</v>
      </c>
      <c r="E50" s="213">
        <v>4312</v>
      </c>
      <c r="F50" s="214" t="s">
        <v>124</v>
      </c>
      <c r="G50" s="215" t="s">
        <v>424</v>
      </c>
      <c r="H50" s="211" t="str">
        <f t="shared" si="8"/>
        <v>PROGRAMSKO FINANCIRANJE JAVNIH VISOKIH UČILIŠTA</v>
      </c>
      <c r="I50" s="206">
        <v>5000</v>
      </c>
      <c r="J50" s="206">
        <v>5000</v>
      </c>
      <c r="K50" s="206">
        <v>5000</v>
      </c>
      <c r="M50" s="144" t="str">
        <f t="shared" si="1"/>
        <v>431</v>
      </c>
      <c r="N50" s="144" t="str">
        <f t="shared" si="2"/>
        <v>43</v>
      </c>
      <c r="R50" s="144">
        <v>3522</v>
      </c>
      <c r="S50" s="144" t="s">
        <v>271</v>
      </c>
      <c r="U50" s="144" t="str">
        <f t="shared" si="9"/>
        <v>35</v>
      </c>
      <c r="V50" s="144" t="str">
        <f t="shared" si="10"/>
        <v>352</v>
      </c>
      <c r="X50" s="144" t="s">
        <v>473</v>
      </c>
      <c r="Y50" s="144" t="s">
        <v>456</v>
      </c>
    </row>
    <row r="51" spans="1:25">
      <c r="A51" s="211" t="s">
        <v>46</v>
      </c>
      <c r="B51" s="211" t="s">
        <v>47</v>
      </c>
      <c r="C51" s="208">
        <v>11</v>
      </c>
      <c r="D51" s="212" t="s">
        <v>48</v>
      </c>
      <c r="E51" s="213">
        <v>4511</v>
      </c>
      <c r="F51" s="214" t="s">
        <v>123</v>
      </c>
      <c r="G51" s="215" t="s">
        <v>424</v>
      </c>
      <c r="H51" s="211" t="str">
        <f t="shared" si="8"/>
        <v>PROGRAMSKO FINANCIRANJE JAVNIH VISOKIH UČILIŠTA</v>
      </c>
      <c r="I51" s="206">
        <v>2100000</v>
      </c>
      <c r="J51" s="206">
        <v>2150000</v>
      </c>
      <c r="K51" s="206">
        <v>2200000</v>
      </c>
      <c r="M51" s="144" t="str">
        <f t="shared" si="1"/>
        <v>451</v>
      </c>
      <c r="N51" s="144" t="str">
        <f t="shared" si="2"/>
        <v>45</v>
      </c>
      <c r="R51" s="144">
        <v>3531</v>
      </c>
      <c r="S51" s="144" t="s">
        <v>136</v>
      </c>
      <c r="U51" s="144" t="str">
        <f t="shared" si="9"/>
        <v>35</v>
      </c>
      <c r="V51" s="144" t="str">
        <f t="shared" si="10"/>
        <v>353</v>
      </c>
    </row>
    <row r="52" spans="1:25">
      <c r="A52" s="211" t="s">
        <v>46</v>
      </c>
      <c r="B52" s="211" t="s">
        <v>47</v>
      </c>
      <c r="C52" s="209">
        <v>11</v>
      </c>
      <c r="D52" s="212" t="s">
        <v>48</v>
      </c>
      <c r="E52" s="215">
        <v>3237</v>
      </c>
      <c r="F52" s="214" t="s">
        <v>68</v>
      </c>
      <c r="G52" s="217" t="s">
        <v>426</v>
      </c>
      <c r="H52" s="211" t="str">
        <f t="shared" si="8"/>
        <v>PROGRAMI VJEŽBAONICA VISOKIH UČILIŠTA</v>
      </c>
      <c r="I52" s="210">
        <v>69241</v>
      </c>
      <c r="J52" s="210">
        <v>69241</v>
      </c>
      <c r="K52" s="210">
        <v>69241</v>
      </c>
      <c r="M52" s="144" t="str">
        <f t="shared" si="1"/>
        <v>323</v>
      </c>
      <c r="N52" s="144" t="str">
        <f t="shared" si="2"/>
        <v>32</v>
      </c>
      <c r="R52" s="144">
        <v>3611</v>
      </c>
      <c r="S52" s="144" t="s">
        <v>89</v>
      </c>
      <c r="U52" s="144" t="str">
        <f t="shared" si="9"/>
        <v>36</v>
      </c>
      <c r="V52" s="144" t="str">
        <f t="shared" si="10"/>
        <v>361</v>
      </c>
    </row>
    <row r="53" spans="1:25">
      <c r="A53" s="211" t="s">
        <v>46</v>
      </c>
      <c r="B53" s="211" t="s">
        <v>47</v>
      </c>
      <c r="C53" s="218">
        <v>31</v>
      </c>
      <c r="D53" s="211" t="s">
        <v>93</v>
      </c>
      <c r="E53" s="218">
        <v>3111</v>
      </c>
      <c r="F53" s="211" t="s">
        <v>49</v>
      </c>
      <c r="G53" s="219" t="s">
        <v>180</v>
      </c>
      <c r="H53" s="211" t="str">
        <f t="shared" si="5"/>
        <v>REDOVNA DJELATNOST SVEUČILIŠTA U OSIJEKU (IZ EVIDENCIJSKIH PRIHODA)</v>
      </c>
      <c r="I53" s="216">
        <v>210000</v>
      </c>
      <c r="J53" s="216">
        <v>214410</v>
      </c>
      <c r="K53" s="216">
        <v>216125</v>
      </c>
      <c r="M53" s="144" t="str">
        <f t="shared" si="1"/>
        <v>311</v>
      </c>
      <c r="N53" s="144" t="str">
        <f t="shared" si="2"/>
        <v>31</v>
      </c>
      <c r="R53" s="144">
        <v>3621</v>
      </c>
      <c r="S53" s="144" t="s">
        <v>140</v>
      </c>
      <c r="U53" s="144" t="str">
        <f t="shared" si="9"/>
        <v>36</v>
      </c>
      <c r="V53" s="144" t="str">
        <f t="shared" si="10"/>
        <v>362</v>
      </c>
    </row>
    <row r="54" spans="1:25">
      <c r="A54" s="211" t="s">
        <v>46</v>
      </c>
      <c r="B54" s="211" t="s">
        <v>47</v>
      </c>
      <c r="C54" s="218">
        <v>31</v>
      </c>
      <c r="D54" s="211" t="s">
        <v>93</v>
      </c>
      <c r="E54" s="218">
        <v>3112</v>
      </c>
      <c r="F54" s="211" t="s">
        <v>149</v>
      </c>
      <c r="G54" s="219" t="s">
        <v>180</v>
      </c>
      <c r="H54" s="211" t="str">
        <f>IFERROR(VLOOKUP(G54,$X$6:$Y$50,2,FALSE),"")</f>
        <v>REDOVNA DJELATNOST SVEUČILIŠTA U OSIJEKU (IZ EVIDENCIJSKIH PRIHODA)</v>
      </c>
      <c r="I54" s="216"/>
      <c r="J54" s="216"/>
      <c r="K54" s="216"/>
      <c r="M54" s="144" t="str">
        <f t="shared" si="1"/>
        <v>311</v>
      </c>
      <c r="N54" s="144" t="str">
        <f t="shared" si="2"/>
        <v>31</v>
      </c>
      <c r="R54" s="144">
        <v>3631</v>
      </c>
      <c r="S54" s="144" t="s">
        <v>181</v>
      </c>
      <c r="U54" s="144" t="str">
        <f t="shared" si="9"/>
        <v>36</v>
      </c>
      <c r="V54" s="144" t="str">
        <f t="shared" si="10"/>
        <v>363</v>
      </c>
    </row>
    <row r="55" spans="1:25">
      <c r="A55" s="211" t="s">
        <v>46</v>
      </c>
      <c r="B55" s="211" t="s">
        <v>47</v>
      </c>
      <c r="C55" s="218">
        <v>31</v>
      </c>
      <c r="D55" s="211" t="s">
        <v>93</v>
      </c>
      <c r="E55" s="218">
        <v>3121</v>
      </c>
      <c r="F55" s="211" t="s">
        <v>52</v>
      </c>
      <c r="G55" s="219" t="s">
        <v>180</v>
      </c>
      <c r="H55" s="211" t="str">
        <f t="shared" si="5"/>
        <v>REDOVNA DJELATNOST SVEUČILIŠTA U OSIJEKU (IZ EVIDENCIJSKIH PRIHODA)</v>
      </c>
      <c r="I55" s="216">
        <v>587500</v>
      </c>
      <c r="J55" s="216">
        <v>589340</v>
      </c>
      <c r="K55" s="216">
        <v>590055</v>
      </c>
      <c r="M55" s="144" t="str">
        <f t="shared" si="1"/>
        <v>312</v>
      </c>
      <c r="N55" s="144" t="str">
        <f t="shared" si="2"/>
        <v>31</v>
      </c>
      <c r="R55" s="144">
        <v>3632</v>
      </c>
      <c r="S55" s="144" t="s">
        <v>272</v>
      </c>
      <c r="U55" s="144" t="str">
        <f t="shared" si="9"/>
        <v>36</v>
      </c>
      <c r="V55" s="144" t="str">
        <f t="shared" si="10"/>
        <v>363</v>
      </c>
    </row>
    <row r="56" spans="1:25">
      <c r="A56" s="211" t="s">
        <v>46</v>
      </c>
      <c r="B56" s="211" t="s">
        <v>47</v>
      </c>
      <c r="C56" s="218">
        <v>31</v>
      </c>
      <c r="D56" s="211" t="s">
        <v>93</v>
      </c>
      <c r="E56" s="218">
        <v>3132</v>
      </c>
      <c r="F56" s="211" t="s">
        <v>53</v>
      </c>
      <c r="G56" s="219" t="s">
        <v>180</v>
      </c>
      <c r="H56" s="211" t="str">
        <f t="shared" ref="H56:H98" si="11">IFERROR(VLOOKUP(G56,$X$6:$Y$50,2,FALSE),"")</f>
        <v>REDOVNA DJELATNOST SVEUČILIŠTA U OSIJEKU (IZ EVIDENCIJSKIH PRIHODA)</v>
      </c>
      <c r="I56" s="216">
        <v>35000</v>
      </c>
      <c r="J56" s="216">
        <v>35735</v>
      </c>
      <c r="K56" s="216">
        <v>36020</v>
      </c>
      <c r="M56" s="144" t="str">
        <f t="shared" si="1"/>
        <v>313</v>
      </c>
      <c r="N56" s="144" t="str">
        <f t="shared" si="2"/>
        <v>31</v>
      </c>
      <c r="R56" s="144">
        <v>3661</v>
      </c>
      <c r="S56" s="144" t="s">
        <v>101</v>
      </c>
      <c r="U56" s="144" t="str">
        <f t="shared" si="9"/>
        <v>36</v>
      </c>
      <c r="V56" s="144" t="str">
        <f t="shared" si="10"/>
        <v>366</v>
      </c>
    </row>
    <row r="57" spans="1:25">
      <c r="A57" s="211" t="s">
        <v>46</v>
      </c>
      <c r="B57" s="211" t="s">
        <v>47</v>
      </c>
      <c r="C57" s="218">
        <v>31</v>
      </c>
      <c r="D57" s="211" t="s">
        <v>93</v>
      </c>
      <c r="E57" s="218">
        <v>3211</v>
      </c>
      <c r="F57" s="211" t="s">
        <v>80</v>
      </c>
      <c r="G57" s="219" t="s">
        <v>180</v>
      </c>
      <c r="H57" s="211" t="str">
        <f t="shared" si="11"/>
        <v>REDOVNA DJELATNOST SVEUČILIŠTA U OSIJEKU (IZ EVIDENCIJSKIH PRIHODA)</v>
      </c>
      <c r="I57" s="216">
        <v>138000</v>
      </c>
      <c r="J57" s="216">
        <v>148054</v>
      </c>
      <c r="K57" s="216">
        <v>154568</v>
      </c>
      <c r="M57" s="144" t="str">
        <f t="shared" si="1"/>
        <v>321</v>
      </c>
      <c r="N57" s="144" t="str">
        <f t="shared" si="2"/>
        <v>32</v>
      </c>
      <c r="R57" s="144">
        <v>3662</v>
      </c>
      <c r="S57" s="144" t="s">
        <v>185</v>
      </c>
      <c r="U57" s="144" t="str">
        <f t="shared" si="9"/>
        <v>36</v>
      </c>
      <c r="V57" s="144" t="str">
        <f t="shared" si="10"/>
        <v>366</v>
      </c>
    </row>
    <row r="58" spans="1:25">
      <c r="A58" s="211" t="s">
        <v>46</v>
      </c>
      <c r="B58" s="211" t="s">
        <v>47</v>
      </c>
      <c r="C58" s="218">
        <v>31</v>
      </c>
      <c r="D58" s="211" t="s">
        <v>93</v>
      </c>
      <c r="E58" s="218">
        <v>3212</v>
      </c>
      <c r="F58" s="211" t="s">
        <v>54</v>
      </c>
      <c r="G58" s="219" t="s">
        <v>180</v>
      </c>
      <c r="H58" s="211" t="str">
        <f t="shared" si="11"/>
        <v>REDOVNA DJELATNOST SVEUČILIŠTA U OSIJEKU (IZ EVIDENCIJSKIH PRIHODA)</v>
      </c>
      <c r="I58" s="216">
        <v>5500</v>
      </c>
      <c r="J58" s="216">
        <v>5616</v>
      </c>
      <c r="K58" s="216">
        <v>5660</v>
      </c>
      <c r="M58" s="144" t="str">
        <f t="shared" si="1"/>
        <v>321</v>
      </c>
      <c r="N58" s="144" t="str">
        <f t="shared" si="2"/>
        <v>32</v>
      </c>
      <c r="R58" s="144">
        <v>3681</v>
      </c>
      <c r="S58" s="144" t="s">
        <v>16</v>
      </c>
      <c r="U58" s="144" t="str">
        <f t="shared" si="9"/>
        <v>36</v>
      </c>
      <c r="V58" s="144" t="str">
        <f t="shared" si="10"/>
        <v>368</v>
      </c>
    </row>
    <row r="59" spans="1:25">
      <c r="A59" s="211" t="s">
        <v>46</v>
      </c>
      <c r="B59" s="211" t="s">
        <v>47</v>
      </c>
      <c r="C59" s="218">
        <v>31</v>
      </c>
      <c r="D59" s="211" t="s">
        <v>93</v>
      </c>
      <c r="E59" s="218">
        <v>3213</v>
      </c>
      <c r="F59" s="211" t="s">
        <v>99</v>
      </c>
      <c r="G59" s="219" t="s">
        <v>180</v>
      </c>
      <c r="H59" s="211" t="str">
        <f t="shared" si="11"/>
        <v>REDOVNA DJELATNOST SVEUČILIŠTA U OSIJEKU (IZ EVIDENCIJSKIH PRIHODA)</v>
      </c>
      <c r="I59" s="216">
        <v>8000</v>
      </c>
      <c r="J59" s="216">
        <v>8205</v>
      </c>
      <c r="K59" s="216">
        <v>8240</v>
      </c>
      <c r="M59" s="144" t="str">
        <f t="shared" si="1"/>
        <v>321</v>
      </c>
      <c r="N59" s="144" t="str">
        <f t="shared" si="2"/>
        <v>32</v>
      </c>
      <c r="R59" s="144">
        <v>3682</v>
      </c>
      <c r="S59" s="144" t="s">
        <v>17</v>
      </c>
      <c r="U59" s="144" t="str">
        <f t="shared" si="9"/>
        <v>36</v>
      </c>
      <c r="V59" s="144" t="str">
        <f t="shared" si="10"/>
        <v>368</v>
      </c>
    </row>
    <row r="60" spans="1:25">
      <c r="A60" s="211" t="s">
        <v>46</v>
      </c>
      <c r="B60" s="211" t="s">
        <v>47</v>
      </c>
      <c r="C60" s="218">
        <v>31</v>
      </c>
      <c r="D60" s="211" t="s">
        <v>93</v>
      </c>
      <c r="E60" s="218">
        <v>3221</v>
      </c>
      <c r="F60" s="211" t="s">
        <v>81</v>
      </c>
      <c r="G60" s="219" t="s">
        <v>180</v>
      </c>
      <c r="H60" s="211" t="str">
        <f t="shared" si="11"/>
        <v>REDOVNA DJELATNOST SVEUČILIŠTA U OSIJEKU (IZ EVIDENCIJSKIH PRIHODA)</v>
      </c>
      <c r="I60" s="216">
        <v>15500</v>
      </c>
      <c r="J60" s="216">
        <v>15826</v>
      </c>
      <c r="K60" s="216">
        <v>15952</v>
      </c>
      <c r="M60" s="144" t="str">
        <f t="shared" si="1"/>
        <v>322</v>
      </c>
      <c r="N60" s="144" t="str">
        <f t="shared" si="2"/>
        <v>32</v>
      </c>
      <c r="R60" s="144">
        <v>3691</v>
      </c>
      <c r="S60" s="144" t="s">
        <v>106</v>
      </c>
      <c r="U60" s="144" t="str">
        <f t="shared" si="9"/>
        <v>36</v>
      </c>
      <c r="V60" s="144" t="str">
        <f t="shared" si="10"/>
        <v>369</v>
      </c>
    </row>
    <row r="61" spans="1:25">
      <c r="A61" s="211" t="s">
        <v>46</v>
      </c>
      <c r="B61" s="211" t="s">
        <v>47</v>
      </c>
      <c r="C61" s="218">
        <v>31</v>
      </c>
      <c r="D61" s="211" t="s">
        <v>93</v>
      </c>
      <c r="E61" s="218">
        <v>3222</v>
      </c>
      <c r="F61" s="211" t="s">
        <v>102</v>
      </c>
      <c r="G61" s="219" t="s">
        <v>180</v>
      </c>
      <c r="H61" s="211" t="str">
        <f t="shared" si="11"/>
        <v>REDOVNA DJELATNOST SVEUČILIŠTA U OSIJEKU (IZ EVIDENCIJSKIH PRIHODA)</v>
      </c>
      <c r="I61" s="216"/>
      <c r="J61" s="216"/>
      <c r="K61" s="216"/>
      <c r="M61" s="144" t="str">
        <f t="shared" si="1"/>
        <v>322</v>
      </c>
      <c r="N61" s="144" t="str">
        <f t="shared" si="2"/>
        <v>32</v>
      </c>
      <c r="R61" s="144">
        <v>3692</v>
      </c>
      <c r="S61" s="144" t="s">
        <v>179</v>
      </c>
      <c r="U61" s="144" t="str">
        <f t="shared" si="9"/>
        <v>36</v>
      </c>
      <c r="V61" s="144" t="str">
        <f t="shared" si="10"/>
        <v>369</v>
      </c>
    </row>
    <row r="62" spans="1:25">
      <c r="A62" s="211" t="s">
        <v>46</v>
      </c>
      <c r="B62" s="211" t="s">
        <v>47</v>
      </c>
      <c r="C62" s="218">
        <v>31</v>
      </c>
      <c r="D62" s="211" t="s">
        <v>93</v>
      </c>
      <c r="E62" s="218">
        <v>3223</v>
      </c>
      <c r="F62" s="211" t="s">
        <v>90</v>
      </c>
      <c r="G62" s="219" t="s">
        <v>180</v>
      </c>
      <c r="H62" s="211" t="str">
        <f t="shared" si="11"/>
        <v>REDOVNA DJELATNOST SVEUČILIŠTA U OSIJEKU (IZ EVIDENCIJSKIH PRIHODA)</v>
      </c>
      <c r="I62" s="216">
        <v>7000</v>
      </c>
      <c r="J62" s="216">
        <v>7147</v>
      </c>
      <c r="K62" s="216">
        <v>7204</v>
      </c>
      <c r="M62" s="144" t="str">
        <f t="shared" si="1"/>
        <v>322</v>
      </c>
      <c r="N62" s="144" t="str">
        <f t="shared" si="2"/>
        <v>32</v>
      </c>
      <c r="R62" s="144">
        <v>3693</v>
      </c>
      <c r="S62" s="144" t="s">
        <v>106</v>
      </c>
      <c r="U62" s="144" t="str">
        <f t="shared" si="9"/>
        <v>36</v>
      </c>
      <c r="V62" s="144" t="str">
        <f t="shared" si="10"/>
        <v>369</v>
      </c>
    </row>
    <row r="63" spans="1:25">
      <c r="A63" s="211" t="s">
        <v>46</v>
      </c>
      <c r="B63" s="211" t="s">
        <v>47</v>
      </c>
      <c r="C63" s="218">
        <v>31</v>
      </c>
      <c r="D63" s="211" t="s">
        <v>93</v>
      </c>
      <c r="E63" s="218">
        <v>3224</v>
      </c>
      <c r="F63" s="211" t="s">
        <v>95</v>
      </c>
      <c r="G63" s="219" t="s">
        <v>180</v>
      </c>
      <c r="H63" s="211" t="str">
        <f t="shared" si="11"/>
        <v>REDOVNA DJELATNOST SVEUČILIŠTA U OSIJEKU (IZ EVIDENCIJSKIH PRIHODA)</v>
      </c>
      <c r="I63" s="216">
        <v>5000</v>
      </c>
      <c r="J63" s="216">
        <v>5105</v>
      </c>
      <c r="K63" s="216">
        <v>5145</v>
      </c>
      <c r="M63" s="144" t="str">
        <f t="shared" si="1"/>
        <v>322</v>
      </c>
      <c r="N63" s="144" t="str">
        <f t="shared" si="2"/>
        <v>32</v>
      </c>
      <c r="R63" s="144">
        <v>3694</v>
      </c>
      <c r="S63" s="144" t="s">
        <v>179</v>
      </c>
      <c r="U63" s="144" t="str">
        <f t="shared" si="9"/>
        <v>36</v>
      </c>
      <c r="V63" s="144" t="str">
        <f t="shared" si="10"/>
        <v>369</v>
      </c>
    </row>
    <row r="64" spans="1:25">
      <c r="A64" s="211" t="s">
        <v>46</v>
      </c>
      <c r="B64" s="211" t="s">
        <v>47</v>
      </c>
      <c r="C64" s="218">
        <v>31</v>
      </c>
      <c r="D64" s="211" t="s">
        <v>93</v>
      </c>
      <c r="E64" s="218">
        <v>3225</v>
      </c>
      <c r="F64" s="211" t="s">
        <v>103</v>
      </c>
      <c r="G64" s="219" t="s">
        <v>180</v>
      </c>
      <c r="H64" s="211" t="str">
        <f t="shared" si="11"/>
        <v>REDOVNA DJELATNOST SVEUČILIŠTA U OSIJEKU (IZ EVIDENCIJSKIH PRIHODA)</v>
      </c>
      <c r="I64" s="216">
        <v>1000</v>
      </c>
      <c r="J64" s="216">
        <v>1021</v>
      </c>
      <c r="K64" s="216">
        <v>1029</v>
      </c>
      <c r="M64" s="144" t="str">
        <f t="shared" si="1"/>
        <v>322</v>
      </c>
      <c r="N64" s="144" t="str">
        <f t="shared" si="2"/>
        <v>32</v>
      </c>
      <c r="R64" s="144">
        <v>3711</v>
      </c>
      <c r="S64" s="144" t="s">
        <v>126</v>
      </c>
      <c r="U64" s="144" t="str">
        <f t="shared" si="9"/>
        <v>37</v>
      </c>
      <c r="V64" s="144" t="str">
        <f t="shared" si="10"/>
        <v>371</v>
      </c>
    </row>
    <row r="65" spans="1:22">
      <c r="A65" s="211" t="s">
        <v>46</v>
      </c>
      <c r="B65" s="211" t="s">
        <v>47</v>
      </c>
      <c r="C65" s="218">
        <v>31</v>
      </c>
      <c r="D65" s="211" t="s">
        <v>93</v>
      </c>
      <c r="E65" s="218">
        <v>3227</v>
      </c>
      <c r="F65" s="211" t="s">
        <v>120</v>
      </c>
      <c r="G65" s="219" t="s">
        <v>180</v>
      </c>
      <c r="H65" s="211" t="str">
        <f t="shared" si="11"/>
        <v>REDOVNA DJELATNOST SVEUČILIŠTA U OSIJEKU (IZ EVIDENCIJSKIH PRIHODA)</v>
      </c>
      <c r="I65" s="216">
        <v>1000</v>
      </c>
      <c r="J65" s="216">
        <v>1021</v>
      </c>
      <c r="K65" s="216">
        <v>1029</v>
      </c>
      <c r="M65" s="144" t="str">
        <f t="shared" si="1"/>
        <v>322</v>
      </c>
      <c r="N65" s="144" t="str">
        <f t="shared" si="2"/>
        <v>32</v>
      </c>
      <c r="R65" s="144">
        <v>3712</v>
      </c>
      <c r="S65" s="144" t="s">
        <v>144</v>
      </c>
      <c r="U65" s="144" t="str">
        <f t="shared" si="9"/>
        <v>37</v>
      </c>
      <c r="V65" s="144" t="str">
        <f t="shared" si="10"/>
        <v>371</v>
      </c>
    </row>
    <row r="66" spans="1:22">
      <c r="A66" s="211" t="s">
        <v>46</v>
      </c>
      <c r="B66" s="211" t="s">
        <v>47</v>
      </c>
      <c r="C66" s="218">
        <v>31</v>
      </c>
      <c r="D66" s="211" t="s">
        <v>93</v>
      </c>
      <c r="E66" s="218">
        <v>3231</v>
      </c>
      <c r="F66" s="211" t="s">
        <v>104</v>
      </c>
      <c r="G66" s="219" t="s">
        <v>180</v>
      </c>
      <c r="H66" s="211" t="str">
        <f t="shared" si="11"/>
        <v>REDOVNA DJELATNOST SVEUČILIŠTA U OSIJEKU (IZ EVIDENCIJSKIH PRIHODA)</v>
      </c>
      <c r="I66" s="216">
        <v>1000</v>
      </c>
      <c r="J66" s="216">
        <v>1021</v>
      </c>
      <c r="K66" s="216">
        <v>1029</v>
      </c>
      <c r="M66" s="144" t="str">
        <f t="shared" si="1"/>
        <v>323</v>
      </c>
      <c r="N66" s="144" t="str">
        <f t="shared" si="2"/>
        <v>32</v>
      </c>
      <c r="R66" s="144">
        <v>3713</v>
      </c>
      <c r="S66" s="144" t="s">
        <v>171</v>
      </c>
      <c r="U66" s="144" t="str">
        <f t="shared" si="9"/>
        <v>37</v>
      </c>
      <c r="V66" s="144" t="str">
        <f t="shared" si="10"/>
        <v>371</v>
      </c>
    </row>
    <row r="67" spans="1:22">
      <c r="A67" s="211" t="s">
        <v>46</v>
      </c>
      <c r="B67" s="211" t="s">
        <v>47</v>
      </c>
      <c r="C67" s="218">
        <v>31</v>
      </c>
      <c r="D67" s="211" t="s">
        <v>93</v>
      </c>
      <c r="E67" s="218">
        <v>3232</v>
      </c>
      <c r="F67" s="211" t="s">
        <v>91</v>
      </c>
      <c r="G67" s="219" t="s">
        <v>180</v>
      </c>
      <c r="H67" s="211" t="str">
        <f t="shared" si="11"/>
        <v>REDOVNA DJELATNOST SVEUČILIŠTA U OSIJEKU (IZ EVIDENCIJSKIH PRIHODA)</v>
      </c>
      <c r="I67" s="216">
        <v>1000</v>
      </c>
      <c r="J67" s="216">
        <v>1021</v>
      </c>
      <c r="K67" s="216">
        <v>1029</v>
      </c>
      <c r="M67" s="144" t="str">
        <f t="shared" si="1"/>
        <v>323</v>
      </c>
      <c r="N67" s="144" t="str">
        <f t="shared" si="2"/>
        <v>32</v>
      </c>
      <c r="R67" s="144">
        <v>3714</v>
      </c>
      <c r="S67" s="144" t="s">
        <v>192</v>
      </c>
      <c r="U67" s="144" t="str">
        <f t="shared" si="9"/>
        <v>37</v>
      </c>
      <c r="V67" s="144" t="str">
        <f t="shared" si="10"/>
        <v>371</v>
      </c>
    </row>
    <row r="68" spans="1:22">
      <c r="A68" s="211" t="s">
        <v>46</v>
      </c>
      <c r="B68" s="211" t="s">
        <v>47</v>
      </c>
      <c r="C68" s="218">
        <v>31</v>
      </c>
      <c r="D68" s="211" t="s">
        <v>93</v>
      </c>
      <c r="E68" s="218">
        <v>3233</v>
      </c>
      <c r="F68" s="211" t="s">
        <v>79</v>
      </c>
      <c r="G68" s="219" t="s">
        <v>180</v>
      </c>
      <c r="H68" s="211" t="str">
        <f t="shared" si="11"/>
        <v>REDOVNA DJELATNOST SVEUČILIŠTA U OSIJEKU (IZ EVIDENCIJSKIH PRIHODA)</v>
      </c>
      <c r="I68" s="216"/>
      <c r="J68" s="216"/>
      <c r="K68" s="216"/>
      <c r="M68" s="144" t="str">
        <f t="shared" ref="M68:M131" si="12">LEFT(E68,3)</f>
        <v>323</v>
      </c>
      <c r="N68" s="144" t="str">
        <f t="shared" ref="N68:N131" si="13">LEFT(E68,2)</f>
        <v>32</v>
      </c>
      <c r="R68" s="144">
        <v>3715</v>
      </c>
      <c r="S68" s="144" t="s">
        <v>130</v>
      </c>
      <c r="U68" s="144" t="str">
        <f t="shared" si="9"/>
        <v>37</v>
      </c>
      <c r="V68" s="144" t="str">
        <f t="shared" si="10"/>
        <v>371</v>
      </c>
    </row>
    <row r="69" spans="1:22">
      <c r="A69" s="211" t="s">
        <v>46</v>
      </c>
      <c r="B69" s="211" t="s">
        <v>47</v>
      </c>
      <c r="C69" s="218">
        <v>31</v>
      </c>
      <c r="D69" s="211" t="s">
        <v>93</v>
      </c>
      <c r="E69" s="218">
        <v>3234</v>
      </c>
      <c r="F69" s="211" t="s">
        <v>92</v>
      </c>
      <c r="G69" s="219" t="s">
        <v>180</v>
      </c>
      <c r="H69" s="211" t="str">
        <f t="shared" si="11"/>
        <v>REDOVNA DJELATNOST SVEUČILIŠTA U OSIJEKU (IZ EVIDENCIJSKIH PRIHODA)</v>
      </c>
      <c r="I69" s="216"/>
      <c r="J69" s="216"/>
      <c r="K69" s="216"/>
      <c r="M69" s="144" t="str">
        <f t="shared" si="12"/>
        <v>323</v>
      </c>
      <c r="N69" s="144" t="str">
        <f t="shared" si="13"/>
        <v>32</v>
      </c>
      <c r="R69" s="144">
        <v>3721</v>
      </c>
      <c r="S69" s="144" t="s">
        <v>67</v>
      </c>
      <c r="U69" s="144" t="str">
        <f t="shared" si="9"/>
        <v>37</v>
      </c>
      <c r="V69" s="144" t="str">
        <f t="shared" si="10"/>
        <v>372</v>
      </c>
    </row>
    <row r="70" spans="1:22">
      <c r="A70" s="211" t="s">
        <v>46</v>
      </c>
      <c r="B70" s="211" t="s">
        <v>47</v>
      </c>
      <c r="C70" s="218">
        <v>31</v>
      </c>
      <c r="D70" s="211" t="s">
        <v>93</v>
      </c>
      <c r="E70" s="218">
        <v>3235</v>
      </c>
      <c r="F70" s="211" t="s">
        <v>112</v>
      </c>
      <c r="G70" s="219" t="s">
        <v>180</v>
      </c>
      <c r="H70" s="211" t="str">
        <f t="shared" si="11"/>
        <v>REDOVNA DJELATNOST SVEUČILIŠTA U OSIJEKU (IZ EVIDENCIJSKIH PRIHODA)</v>
      </c>
      <c r="I70" s="216"/>
      <c r="J70" s="216"/>
      <c r="K70" s="216"/>
      <c r="M70" s="144" t="str">
        <f t="shared" si="12"/>
        <v>323</v>
      </c>
      <c r="N70" s="144" t="str">
        <f t="shared" si="13"/>
        <v>32</v>
      </c>
      <c r="R70" s="144">
        <v>3722</v>
      </c>
      <c r="S70" s="144" t="s">
        <v>153</v>
      </c>
      <c r="U70" s="144" t="str">
        <f t="shared" si="9"/>
        <v>37</v>
      </c>
      <c r="V70" s="144" t="str">
        <f t="shared" si="10"/>
        <v>372</v>
      </c>
    </row>
    <row r="71" spans="1:22">
      <c r="A71" s="211" t="s">
        <v>46</v>
      </c>
      <c r="B71" s="211" t="s">
        <v>47</v>
      </c>
      <c r="C71" s="218">
        <v>31</v>
      </c>
      <c r="D71" s="211" t="s">
        <v>93</v>
      </c>
      <c r="E71" s="218">
        <v>3236</v>
      </c>
      <c r="F71" s="211" t="s">
        <v>55</v>
      </c>
      <c r="G71" s="219" t="s">
        <v>180</v>
      </c>
      <c r="H71" s="211" t="str">
        <f t="shared" si="11"/>
        <v>REDOVNA DJELATNOST SVEUČILIŠTA U OSIJEKU (IZ EVIDENCIJSKIH PRIHODA)</v>
      </c>
      <c r="I71" s="216"/>
      <c r="J71" s="216"/>
      <c r="K71" s="216"/>
      <c r="M71" s="144" t="str">
        <f t="shared" si="12"/>
        <v>323</v>
      </c>
      <c r="N71" s="144" t="str">
        <f t="shared" si="13"/>
        <v>32</v>
      </c>
      <c r="R71" s="144">
        <v>3723</v>
      </c>
      <c r="S71" s="144" t="s">
        <v>107</v>
      </c>
      <c r="U71" s="144" t="str">
        <f t="shared" si="9"/>
        <v>37</v>
      </c>
      <c r="V71" s="144" t="str">
        <f t="shared" si="10"/>
        <v>372</v>
      </c>
    </row>
    <row r="72" spans="1:22">
      <c r="A72" s="211" t="s">
        <v>46</v>
      </c>
      <c r="B72" s="211" t="s">
        <v>47</v>
      </c>
      <c r="C72" s="218">
        <v>31</v>
      </c>
      <c r="D72" s="211" t="s">
        <v>93</v>
      </c>
      <c r="E72" s="218">
        <v>3237</v>
      </c>
      <c r="F72" s="211" t="s">
        <v>68</v>
      </c>
      <c r="G72" s="219" t="s">
        <v>180</v>
      </c>
      <c r="H72" s="211" t="str">
        <f t="shared" si="11"/>
        <v>REDOVNA DJELATNOST SVEUČILIŠTA U OSIJEKU (IZ EVIDENCIJSKIH PRIHODA)</v>
      </c>
      <c r="I72" s="216">
        <v>59600</v>
      </c>
      <c r="J72" s="216">
        <v>7147</v>
      </c>
      <c r="K72" s="216">
        <v>7204</v>
      </c>
      <c r="M72" s="144" t="str">
        <f t="shared" si="12"/>
        <v>323</v>
      </c>
      <c r="N72" s="144" t="str">
        <f t="shared" si="13"/>
        <v>32</v>
      </c>
      <c r="R72" s="144">
        <v>3811</v>
      </c>
      <c r="S72" s="144" t="s">
        <v>57</v>
      </c>
      <c r="U72" s="144" t="str">
        <f t="shared" si="9"/>
        <v>38</v>
      </c>
      <c r="V72" s="144" t="str">
        <f t="shared" si="10"/>
        <v>381</v>
      </c>
    </row>
    <row r="73" spans="1:22">
      <c r="A73" s="211" t="s">
        <v>46</v>
      </c>
      <c r="B73" s="211" t="s">
        <v>47</v>
      </c>
      <c r="C73" s="218">
        <v>31</v>
      </c>
      <c r="D73" s="211" t="s">
        <v>93</v>
      </c>
      <c r="E73" s="218">
        <v>3238</v>
      </c>
      <c r="F73" s="211" t="s">
        <v>105</v>
      </c>
      <c r="G73" s="219" t="s">
        <v>180</v>
      </c>
      <c r="H73" s="211" t="str">
        <f t="shared" si="11"/>
        <v>REDOVNA DJELATNOST SVEUČILIŠTA U OSIJEKU (IZ EVIDENCIJSKIH PRIHODA)</v>
      </c>
      <c r="I73" s="216"/>
      <c r="J73" s="216"/>
      <c r="K73" s="216"/>
      <c r="M73" s="144" t="str">
        <f t="shared" si="12"/>
        <v>323</v>
      </c>
      <c r="N73" s="144" t="str">
        <f t="shared" si="13"/>
        <v>32</v>
      </c>
      <c r="R73" s="144">
        <v>3812</v>
      </c>
      <c r="S73" s="144" t="s">
        <v>154</v>
      </c>
      <c r="U73" s="144" t="str">
        <f t="shared" si="9"/>
        <v>38</v>
      </c>
      <c r="V73" s="144" t="str">
        <f t="shared" si="10"/>
        <v>381</v>
      </c>
    </row>
    <row r="74" spans="1:22">
      <c r="A74" s="211" t="s">
        <v>46</v>
      </c>
      <c r="B74" s="211" t="s">
        <v>47</v>
      </c>
      <c r="C74" s="218">
        <v>31</v>
      </c>
      <c r="D74" s="211" t="s">
        <v>93</v>
      </c>
      <c r="E74" s="218">
        <v>3239</v>
      </c>
      <c r="F74" s="211" t="s">
        <v>85</v>
      </c>
      <c r="G74" s="219" t="s">
        <v>180</v>
      </c>
      <c r="H74" s="211" t="str">
        <f t="shared" si="11"/>
        <v>REDOVNA DJELATNOST SVEUČILIŠTA U OSIJEKU (IZ EVIDENCIJSKIH PRIHODA)</v>
      </c>
      <c r="I74" s="216">
        <v>3000</v>
      </c>
      <c r="J74" s="216">
        <v>3063</v>
      </c>
      <c r="K74" s="216">
        <v>3087</v>
      </c>
      <c r="M74" s="144" t="str">
        <f t="shared" si="12"/>
        <v>323</v>
      </c>
      <c r="N74" s="144" t="str">
        <f t="shared" si="13"/>
        <v>32</v>
      </c>
      <c r="R74" s="144">
        <v>3813</v>
      </c>
      <c r="S74" s="144" t="s">
        <v>96</v>
      </c>
      <c r="U74" s="144" t="str">
        <f t="shared" ref="U74:U80" si="14">LEFT(R74,2)</f>
        <v>38</v>
      </c>
      <c r="V74" s="144" t="str">
        <f t="shared" ref="V74:V80" si="15">LEFT(R74,3)</f>
        <v>381</v>
      </c>
    </row>
    <row r="75" spans="1:22">
      <c r="A75" s="211" t="s">
        <v>46</v>
      </c>
      <c r="B75" s="211" t="s">
        <v>47</v>
      </c>
      <c r="C75" s="218">
        <v>31</v>
      </c>
      <c r="D75" s="211" t="s">
        <v>93</v>
      </c>
      <c r="E75" s="218">
        <v>3241</v>
      </c>
      <c r="F75" s="211" t="s">
        <v>82</v>
      </c>
      <c r="G75" s="219" t="s">
        <v>180</v>
      </c>
      <c r="H75" s="211" t="str">
        <f t="shared" si="11"/>
        <v>REDOVNA DJELATNOST SVEUČILIŠTA U OSIJEKU (IZ EVIDENCIJSKIH PRIHODA)</v>
      </c>
      <c r="I75" s="216">
        <v>1800</v>
      </c>
      <c r="J75" s="216">
        <v>1838</v>
      </c>
      <c r="K75" s="216">
        <v>1852</v>
      </c>
      <c r="M75" s="144" t="str">
        <f t="shared" si="12"/>
        <v>324</v>
      </c>
      <c r="N75" s="144" t="str">
        <f t="shared" si="13"/>
        <v>32</v>
      </c>
      <c r="R75" s="144">
        <v>3821</v>
      </c>
      <c r="S75" s="144" t="s">
        <v>172</v>
      </c>
      <c r="U75" s="144" t="str">
        <f t="shared" si="14"/>
        <v>38</v>
      </c>
      <c r="V75" s="144" t="str">
        <f t="shared" si="15"/>
        <v>382</v>
      </c>
    </row>
    <row r="76" spans="1:22">
      <c r="A76" s="211" t="s">
        <v>46</v>
      </c>
      <c r="B76" s="211" t="s">
        <v>47</v>
      </c>
      <c r="C76" s="218">
        <v>31</v>
      </c>
      <c r="D76" s="211" t="s">
        <v>93</v>
      </c>
      <c r="E76" s="218">
        <v>3292</v>
      </c>
      <c r="F76" s="211" t="s">
        <v>76</v>
      </c>
      <c r="G76" s="219" t="s">
        <v>180</v>
      </c>
      <c r="H76" s="211" t="str">
        <f t="shared" si="11"/>
        <v>REDOVNA DJELATNOST SVEUČILIŠTA U OSIJEKU (IZ EVIDENCIJSKIH PRIHODA)</v>
      </c>
      <c r="I76" s="216">
        <v>2000</v>
      </c>
      <c r="J76" s="216">
        <v>2042</v>
      </c>
      <c r="K76" s="216">
        <v>2058</v>
      </c>
      <c r="M76" s="144" t="str">
        <f t="shared" si="12"/>
        <v>329</v>
      </c>
      <c r="N76" s="144" t="str">
        <f t="shared" si="13"/>
        <v>32</v>
      </c>
      <c r="R76" s="144">
        <v>3831</v>
      </c>
      <c r="S76" s="144" t="s">
        <v>155</v>
      </c>
      <c r="U76" s="144" t="str">
        <f t="shared" si="14"/>
        <v>38</v>
      </c>
      <c r="V76" s="144" t="str">
        <f t="shared" si="15"/>
        <v>383</v>
      </c>
    </row>
    <row r="77" spans="1:22">
      <c r="A77" s="211" t="s">
        <v>46</v>
      </c>
      <c r="B77" s="211" t="s">
        <v>47</v>
      </c>
      <c r="C77" s="218">
        <v>31</v>
      </c>
      <c r="D77" s="211" t="s">
        <v>93</v>
      </c>
      <c r="E77" s="218">
        <v>3293</v>
      </c>
      <c r="F77" s="211" t="s">
        <v>86</v>
      </c>
      <c r="G77" s="219" t="s">
        <v>180</v>
      </c>
      <c r="H77" s="211" t="str">
        <f t="shared" si="11"/>
        <v>REDOVNA DJELATNOST SVEUČILIŠTA U OSIJEKU (IZ EVIDENCIJSKIH PRIHODA)</v>
      </c>
      <c r="I77" s="216">
        <v>26800</v>
      </c>
      <c r="J77" s="216">
        <v>23247</v>
      </c>
      <c r="K77" s="216">
        <v>23235</v>
      </c>
      <c r="M77" s="144" t="str">
        <f t="shared" si="12"/>
        <v>329</v>
      </c>
      <c r="N77" s="144" t="str">
        <f t="shared" si="13"/>
        <v>32</v>
      </c>
      <c r="R77" s="144">
        <v>3832</v>
      </c>
      <c r="S77" s="144" t="s">
        <v>195</v>
      </c>
      <c r="U77" s="144" t="str">
        <f t="shared" si="14"/>
        <v>38</v>
      </c>
      <c r="V77" s="144" t="str">
        <f t="shared" si="15"/>
        <v>383</v>
      </c>
    </row>
    <row r="78" spans="1:22">
      <c r="A78" s="211" t="s">
        <v>46</v>
      </c>
      <c r="B78" s="211" t="s">
        <v>47</v>
      </c>
      <c r="C78" s="218">
        <v>31</v>
      </c>
      <c r="D78" s="211" t="s">
        <v>93</v>
      </c>
      <c r="E78" s="218">
        <v>3294</v>
      </c>
      <c r="F78" s="211" t="s">
        <v>87</v>
      </c>
      <c r="G78" s="219" t="s">
        <v>180</v>
      </c>
      <c r="H78" s="211" t="str">
        <f t="shared" si="11"/>
        <v>REDOVNA DJELATNOST SVEUČILIŠTA U OSIJEKU (IZ EVIDENCIJSKIH PRIHODA)</v>
      </c>
      <c r="I78" s="216">
        <v>2600</v>
      </c>
      <c r="J78" s="216">
        <v>2734</v>
      </c>
      <c r="K78" s="216">
        <v>2678</v>
      </c>
      <c r="M78" s="144" t="str">
        <f t="shared" si="12"/>
        <v>329</v>
      </c>
      <c r="N78" s="144" t="str">
        <f t="shared" si="13"/>
        <v>32</v>
      </c>
      <c r="R78" s="144">
        <v>3833</v>
      </c>
      <c r="S78" s="144" t="s">
        <v>156</v>
      </c>
      <c r="U78" s="144" t="str">
        <f t="shared" si="14"/>
        <v>38</v>
      </c>
      <c r="V78" s="144" t="str">
        <f t="shared" si="15"/>
        <v>383</v>
      </c>
    </row>
    <row r="79" spans="1:22">
      <c r="A79" s="211" t="s">
        <v>46</v>
      </c>
      <c r="B79" s="211" t="s">
        <v>47</v>
      </c>
      <c r="C79" s="218">
        <v>31</v>
      </c>
      <c r="D79" s="211" t="s">
        <v>93</v>
      </c>
      <c r="E79" s="218">
        <v>3295</v>
      </c>
      <c r="F79" s="211" t="s">
        <v>56</v>
      </c>
      <c r="G79" s="219" t="s">
        <v>180</v>
      </c>
      <c r="H79" s="211" t="str">
        <f t="shared" si="11"/>
        <v>REDOVNA DJELATNOST SVEUČILIŠTA U OSIJEKU (IZ EVIDENCIJSKIH PRIHODA)</v>
      </c>
      <c r="I79" s="216"/>
      <c r="J79" s="216"/>
      <c r="K79" s="216"/>
      <c r="M79" s="144" t="str">
        <f t="shared" si="12"/>
        <v>329</v>
      </c>
      <c r="N79" s="144" t="str">
        <f t="shared" si="13"/>
        <v>32</v>
      </c>
      <c r="R79" s="144">
        <v>3834</v>
      </c>
      <c r="S79" s="144" t="s">
        <v>157</v>
      </c>
      <c r="U79" s="144" t="str">
        <f t="shared" si="14"/>
        <v>38</v>
      </c>
      <c r="V79" s="144" t="str">
        <f t="shared" si="15"/>
        <v>383</v>
      </c>
    </row>
    <row r="80" spans="1:22">
      <c r="A80" s="211" t="s">
        <v>46</v>
      </c>
      <c r="B80" s="211" t="s">
        <v>47</v>
      </c>
      <c r="C80" s="218">
        <v>31</v>
      </c>
      <c r="D80" s="211" t="s">
        <v>93</v>
      </c>
      <c r="E80" s="218">
        <v>3299</v>
      </c>
      <c r="F80" s="211" t="s">
        <v>59</v>
      </c>
      <c r="G80" s="219" t="s">
        <v>180</v>
      </c>
      <c r="H80" s="211" t="str">
        <f t="shared" si="11"/>
        <v>REDOVNA DJELATNOST SVEUČILIŠTA U OSIJEKU (IZ EVIDENCIJSKIH PRIHODA)</v>
      </c>
      <c r="I80" s="216">
        <v>76000</v>
      </c>
      <c r="J80" s="216">
        <v>76021</v>
      </c>
      <c r="K80" s="216">
        <v>76029</v>
      </c>
      <c r="M80" s="144" t="str">
        <f t="shared" si="12"/>
        <v>329</v>
      </c>
      <c r="N80" s="144" t="str">
        <f t="shared" si="13"/>
        <v>32</v>
      </c>
      <c r="R80" s="144">
        <v>3835</v>
      </c>
      <c r="S80" s="144" t="s">
        <v>158</v>
      </c>
      <c r="U80" s="144" t="str">
        <f t="shared" si="14"/>
        <v>38</v>
      </c>
      <c r="V80" s="144" t="str">
        <f t="shared" si="15"/>
        <v>383</v>
      </c>
    </row>
    <row r="81" spans="1:22">
      <c r="A81" s="211" t="s">
        <v>46</v>
      </c>
      <c r="B81" s="211" t="s">
        <v>47</v>
      </c>
      <c r="C81" s="218">
        <v>31</v>
      </c>
      <c r="D81" s="211" t="s">
        <v>93</v>
      </c>
      <c r="E81" s="218">
        <v>3431</v>
      </c>
      <c r="F81" s="211" t="s">
        <v>84</v>
      </c>
      <c r="G81" s="219" t="s">
        <v>180</v>
      </c>
      <c r="H81" s="211" t="str">
        <f t="shared" si="11"/>
        <v>REDOVNA DJELATNOST SVEUČILIŠTA U OSIJEKU (IZ EVIDENCIJSKIH PRIHODA)</v>
      </c>
      <c r="I81" s="216">
        <v>2650</v>
      </c>
      <c r="J81" s="216">
        <v>4282</v>
      </c>
      <c r="K81" s="216">
        <v>4149</v>
      </c>
      <c r="M81" s="144" t="str">
        <f t="shared" si="12"/>
        <v>343</v>
      </c>
      <c r="N81" s="144" t="str">
        <f t="shared" si="13"/>
        <v>34</v>
      </c>
      <c r="R81" s="170">
        <v>3861</v>
      </c>
      <c r="S81" s="171" t="s">
        <v>410</v>
      </c>
      <c r="T81" s="170"/>
      <c r="U81" s="170" t="str">
        <f t="shared" ref="U81:U83" si="16">LEFT(R81,2)</f>
        <v>38</v>
      </c>
      <c r="V81" s="170" t="str">
        <f t="shared" ref="V81:V83" si="17">LEFT(R81,3)</f>
        <v>386</v>
      </c>
    </row>
    <row r="82" spans="1:22">
      <c r="A82" s="211" t="s">
        <v>46</v>
      </c>
      <c r="B82" s="211" t="s">
        <v>47</v>
      </c>
      <c r="C82" s="218">
        <v>31</v>
      </c>
      <c r="D82" s="211" t="s">
        <v>93</v>
      </c>
      <c r="E82" s="218">
        <v>3432</v>
      </c>
      <c r="F82" s="211" t="s">
        <v>100</v>
      </c>
      <c r="G82" s="219" t="s">
        <v>180</v>
      </c>
      <c r="H82" s="211" t="str">
        <f t="shared" si="11"/>
        <v>REDOVNA DJELATNOST SVEUČILIŠTA U OSIJEKU (IZ EVIDENCIJSKIH PRIHODA)</v>
      </c>
      <c r="I82" s="216">
        <v>200</v>
      </c>
      <c r="J82" s="216">
        <v>205</v>
      </c>
      <c r="K82" s="216">
        <v>206</v>
      </c>
      <c r="M82" s="144" t="str">
        <f t="shared" si="12"/>
        <v>343</v>
      </c>
      <c r="N82" s="144" t="str">
        <f t="shared" si="13"/>
        <v>34</v>
      </c>
      <c r="R82" s="169">
        <v>3862</v>
      </c>
      <c r="S82" s="144" t="s">
        <v>411</v>
      </c>
      <c r="U82" s="144" t="str">
        <f t="shared" si="16"/>
        <v>38</v>
      </c>
      <c r="V82" s="144" t="str">
        <f t="shared" si="17"/>
        <v>386</v>
      </c>
    </row>
    <row r="83" spans="1:22">
      <c r="A83" s="211" t="s">
        <v>46</v>
      </c>
      <c r="B83" s="211" t="s">
        <v>47</v>
      </c>
      <c r="C83" s="218">
        <v>31</v>
      </c>
      <c r="D83" s="211" t="s">
        <v>93</v>
      </c>
      <c r="E83" s="218">
        <v>3433</v>
      </c>
      <c r="F83" s="211" t="s">
        <v>139</v>
      </c>
      <c r="G83" s="219" t="s">
        <v>180</v>
      </c>
      <c r="H83" s="211" t="str">
        <f t="shared" si="11"/>
        <v>REDOVNA DJELATNOST SVEUČILIŠTA U OSIJEKU (IZ EVIDENCIJSKIH PRIHODA)</v>
      </c>
      <c r="I83" s="216"/>
      <c r="J83" s="216"/>
      <c r="K83" s="216"/>
      <c r="M83" s="144" t="str">
        <f t="shared" si="12"/>
        <v>343</v>
      </c>
      <c r="N83" s="144" t="str">
        <f t="shared" si="13"/>
        <v>34</v>
      </c>
      <c r="R83" s="169">
        <v>3863</v>
      </c>
      <c r="S83" s="144" t="s">
        <v>412</v>
      </c>
      <c r="U83" s="144" t="str">
        <f t="shared" si="16"/>
        <v>38</v>
      </c>
      <c r="V83" s="144" t="str">
        <f t="shared" si="17"/>
        <v>386</v>
      </c>
    </row>
    <row r="84" spans="1:22">
      <c r="A84" s="211" t="s">
        <v>46</v>
      </c>
      <c r="B84" s="211" t="s">
        <v>47</v>
      </c>
      <c r="C84" s="218">
        <v>31</v>
      </c>
      <c r="D84" s="211" t="s">
        <v>93</v>
      </c>
      <c r="E84" s="218">
        <v>3434</v>
      </c>
      <c r="F84" s="211" t="s">
        <v>69</v>
      </c>
      <c r="G84" s="219" t="s">
        <v>180</v>
      </c>
      <c r="H84" s="211" t="str">
        <f t="shared" si="11"/>
        <v>REDOVNA DJELATNOST SVEUČILIŠTA U OSIJEKU (IZ EVIDENCIJSKIH PRIHODA)</v>
      </c>
      <c r="I84" s="216"/>
      <c r="J84" s="216"/>
      <c r="K84" s="216"/>
      <c r="M84" s="144" t="str">
        <f t="shared" si="12"/>
        <v>343</v>
      </c>
      <c r="N84" s="144" t="str">
        <f t="shared" si="13"/>
        <v>34</v>
      </c>
      <c r="R84" s="144">
        <v>4111</v>
      </c>
      <c r="S84" s="144" t="s">
        <v>159</v>
      </c>
      <c r="U84" s="144" t="str">
        <f t="shared" ref="U84:U101" si="18">LEFT(R84,2)</f>
        <v>41</v>
      </c>
      <c r="V84" s="144" t="str">
        <f t="shared" ref="V84:V118" si="19">LEFT(R84,3)</f>
        <v>411</v>
      </c>
    </row>
    <row r="85" spans="1:22">
      <c r="A85" s="211" t="s">
        <v>46</v>
      </c>
      <c r="B85" s="211" t="s">
        <v>47</v>
      </c>
      <c r="C85" s="218">
        <v>31</v>
      </c>
      <c r="D85" s="211" t="s">
        <v>93</v>
      </c>
      <c r="E85" s="218">
        <v>3721</v>
      </c>
      <c r="F85" s="211" t="s">
        <v>67</v>
      </c>
      <c r="G85" s="219" t="s">
        <v>180</v>
      </c>
      <c r="H85" s="211" t="str">
        <f t="shared" si="11"/>
        <v>REDOVNA DJELATNOST SVEUČILIŠTA U OSIJEKU (IZ EVIDENCIJSKIH PRIHODA)</v>
      </c>
      <c r="I85" s="216"/>
      <c r="J85" s="216"/>
      <c r="K85" s="216"/>
      <c r="M85" s="144" t="str">
        <f t="shared" si="12"/>
        <v>372</v>
      </c>
      <c r="N85" s="144" t="str">
        <f t="shared" si="13"/>
        <v>37</v>
      </c>
      <c r="R85" s="144">
        <v>4113</v>
      </c>
      <c r="S85" s="144" t="s">
        <v>193</v>
      </c>
      <c r="U85" s="144" t="str">
        <f t="shared" si="18"/>
        <v>41</v>
      </c>
      <c r="V85" s="144" t="str">
        <f t="shared" si="19"/>
        <v>411</v>
      </c>
    </row>
    <row r="86" spans="1:22">
      <c r="A86" s="211" t="s">
        <v>46</v>
      </c>
      <c r="B86" s="211" t="s">
        <v>47</v>
      </c>
      <c r="C86" s="218">
        <v>31</v>
      </c>
      <c r="D86" s="211" t="s">
        <v>93</v>
      </c>
      <c r="E86" s="218">
        <v>3811</v>
      </c>
      <c r="F86" s="211" t="s">
        <v>57</v>
      </c>
      <c r="G86" s="219" t="s">
        <v>180</v>
      </c>
      <c r="H86" s="211" t="str">
        <f t="shared" si="11"/>
        <v>REDOVNA DJELATNOST SVEUČILIŠTA U OSIJEKU (IZ EVIDENCIJSKIH PRIHODA)</v>
      </c>
      <c r="I86" s="216">
        <v>25000</v>
      </c>
      <c r="J86" s="216">
        <v>25105</v>
      </c>
      <c r="K86" s="216">
        <v>25146</v>
      </c>
      <c r="M86" s="144" t="str">
        <f t="shared" si="12"/>
        <v>381</v>
      </c>
      <c r="N86" s="144" t="str">
        <f t="shared" si="13"/>
        <v>38</v>
      </c>
      <c r="R86" s="144">
        <v>4122</v>
      </c>
      <c r="S86" s="144" t="s">
        <v>160</v>
      </c>
      <c r="U86" s="144" t="str">
        <f t="shared" si="18"/>
        <v>41</v>
      </c>
      <c r="V86" s="144" t="str">
        <f t="shared" si="19"/>
        <v>412</v>
      </c>
    </row>
    <row r="87" spans="1:22">
      <c r="A87" s="211" t="s">
        <v>46</v>
      </c>
      <c r="B87" s="211" t="s">
        <v>47</v>
      </c>
      <c r="C87" s="218">
        <v>31</v>
      </c>
      <c r="D87" s="211" t="s">
        <v>93</v>
      </c>
      <c r="E87" s="218">
        <v>4212</v>
      </c>
      <c r="F87" s="211" t="s">
        <v>62</v>
      </c>
      <c r="G87" s="219" t="s">
        <v>180</v>
      </c>
      <c r="H87" s="211" t="str">
        <f t="shared" si="11"/>
        <v>REDOVNA DJELATNOST SVEUČILIŠTA U OSIJEKU (IZ EVIDENCIJSKIH PRIHODA)</v>
      </c>
      <c r="I87" s="216"/>
      <c r="J87" s="216"/>
      <c r="K87" s="216"/>
      <c r="M87" s="144" t="str">
        <f t="shared" si="12"/>
        <v>421</v>
      </c>
      <c r="N87" s="144" t="str">
        <f t="shared" si="13"/>
        <v>42</v>
      </c>
      <c r="R87" s="144">
        <v>4123</v>
      </c>
      <c r="S87" s="144" t="s">
        <v>131</v>
      </c>
      <c r="U87" s="144" t="str">
        <f t="shared" si="18"/>
        <v>41</v>
      </c>
      <c r="V87" s="144" t="str">
        <f t="shared" si="19"/>
        <v>412</v>
      </c>
    </row>
    <row r="88" spans="1:22">
      <c r="A88" s="211" t="s">
        <v>46</v>
      </c>
      <c r="B88" s="211" t="s">
        <v>47</v>
      </c>
      <c r="C88" s="218">
        <v>31</v>
      </c>
      <c r="D88" s="211" t="s">
        <v>93</v>
      </c>
      <c r="E88" s="218">
        <v>4221</v>
      </c>
      <c r="F88" s="211" t="s">
        <v>97</v>
      </c>
      <c r="G88" s="219" t="s">
        <v>180</v>
      </c>
      <c r="H88" s="211" t="str">
        <f t="shared" si="11"/>
        <v>REDOVNA DJELATNOST SVEUČILIŠTA U OSIJEKU (IZ EVIDENCIJSKIH PRIHODA)</v>
      </c>
      <c r="I88" s="216"/>
      <c r="J88" s="216"/>
      <c r="K88" s="216"/>
      <c r="M88" s="144" t="str">
        <f t="shared" si="12"/>
        <v>422</v>
      </c>
      <c r="N88" s="144" t="str">
        <f t="shared" si="13"/>
        <v>42</v>
      </c>
      <c r="R88" s="144">
        <v>4124</v>
      </c>
      <c r="S88" s="144" t="s">
        <v>116</v>
      </c>
      <c r="U88" s="144" t="str">
        <f t="shared" si="18"/>
        <v>41</v>
      </c>
      <c r="V88" s="144" t="str">
        <f t="shared" si="19"/>
        <v>412</v>
      </c>
    </row>
    <row r="89" spans="1:22">
      <c r="A89" s="211" t="s">
        <v>46</v>
      </c>
      <c r="B89" s="211" t="s">
        <v>47</v>
      </c>
      <c r="C89" s="218">
        <v>31</v>
      </c>
      <c r="D89" s="211" t="s">
        <v>93</v>
      </c>
      <c r="E89" s="218">
        <v>4222</v>
      </c>
      <c r="F89" s="211" t="s">
        <v>108</v>
      </c>
      <c r="G89" s="219" t="s">
        <v>180</v>
      </c>
      <c r="H89" s="211" t="str">
        <f t="shared" si="11"/>
        <v>REDOVNA DJELATNOST SVEUČILIŠTA U OSIJEKU (IZ EVIDENCIJSKIH PRIHODA)</v>
      </c>
      <c r="I89" s="216"/>
      <c r="J89" s="216"/>
      <c r="K89" s="216"/>
      <c r="M89" s="144" t="str">
        <f t="shared" si="12"/>
        <v>422</v>
      </c>
      <c r="N89" s="144" t="str">
        <f t="shared" si="13"/>
        <v>42</v>
      </c>
      <c r="R89" s="144">
        <v>4126</v>
      </c>
      <c r="S89" s="144" t="s">
        <v>161</v>
      </c>
      <c r="U89" s="144" t="str">
        <f t="shared" si="18"/>
        <v>41</v>
      </c>
      <c r="V89" s="144" t="str">
        <f t="shared" si="19"/>
        <v>412</v>
      </c>
    </row>
    <row r="90" spans="1:22">
      <c r="A90" s="211" t="s">
        <v>46</v>
      </c>
      <c r="B90" s="211" t="s">
        <v>47</v>
      </c>
      <c r="C90" s="218">
        <v>31</v>
      </c>
      <c r="D90" s="211" t="s">
        <v>93</v>
      </c>
      <c r="E90" s="218">
        <v>4224</v>
      </c>
      <c r="F90" s="211" t="s">
        <v>114</v>
      </c>
      <c r="G90" s="219" t="s">
        <v>180</v>
      </c>
      <c r="H90" s="211" t="str">
        <f t="shared" si="11"/>
        <v>REDOVNA DJELATNOST SVEUČILIŠTA U OSIJEKU (IZ EVIDENCIJSKIH PRIHODA)</v>
      </c>
      <c r="I90" s="216">
        <v>35000</v>
      </c>
      <c r="J90" s="216">
        <v>36105</v>
      </c>
      <c r="K90" s="216">
        <v>40538</v>
      </c>
      <c r="M90" s="144" t="str">
        <f t="shared" si="12"/>
        <v>422</v>
      </c>
      <c r="N90" s="144" t="str">
        <f t="shared" si="13"/>
        <v>42</v>
      </c>
      <c r="R90" s="144">
        <v>4211</v>
      </c>
      <c r="S90" s="144" t="s">
        <v>175</v>
      </c>
      <c r="U90" s="144" t="str">
        <f t="shared" si="18"/>
        <v>42</v>
      </c>
      <c r="V90" s="144" t="str">
        <f t="shared" si="19"/>
        <v>421</v>
      </c>
    </row>
    <row r="91" spans="1:22">
      <c r="A91" s="211" t="s">
        <v>46</v>
      </c>
      <c r="B91" s="211" t="s">
        <v>47</v>
      </c>
      <c r="C91" s="218">
        <v>31</v>
      </c>
      <c r="D91" s="211" t="s">
        <v>93</v>
      </c>
      <c r="E91" s="218">
        <v>4225</v>
      </c>
      <c r="F91" s="211" t="s">
        <v>118</v>
      </c>
      <c r="G91" s="219" t="s">
        <v>180</v>
      </c>
      <c r="H91" s="211" t="str">
        <f t="shared" si="11"/>
        <v>REDOVNA DJELATNOST SVEUČILIŠTA U OSIJEKU (IZ EVIDENCIJSKIH PRIHODA)</v>
      </c>
      <c r="I91" s="216"/>
      <c r="J91" s="216"/>
      <c r="K91" s="216"/>
      <c r="M91" s="144" t="str">
        <f t="shared" si="12"/>
        <v>422</v>
      </c>
      <c r="N91" s="144" t="str">
        <f t="shared" si="13"/>
        <v>42</v>
      </c>
      <c r="R91" s="144">
        <v>4212</v>
      </c>
      <c r="S91" s="144" t="s">
        <v>62</v>
      </c>
      <c r="U91" s="144" t="str">
        <f t="shared" si="18"/>
        <v>42</v>
      </c>
      <c r="V91" s="144" t="str">
        <f t="shared" si="19"/>
        <v>421</v>
      </c>
    </row>
    <row r="92" spans="1:22">
      <c r="A92" s="211" t="s">
        <v>46</v>
      </c>
      <c r="B92" s="211" t="s">
        <v>47</v>
      </c>
      <c r="C92" s="218">
        <v>31</v>
      </c>
      <c r="D92" s="211" t="s">
        <v>93</v>
      </c>
      <c r="E92" s="218">
        <v>4226</v>
      </c>
      <c r="F92" s="211" t="s">
        <v>164</v>
      </c>
      <c r="G92" s="219" t="s">
        <v>180</v>
      </c>
      <c r="H92" s="211" t="str">
        <f t="shared" si="11"/>
        <v>REDOVNA DJELATNOST SVEUČILIŠTA U OSIJEKU (IZ EVIDENCIJSKIH PRIHODA)</v>
      </c>
      <c r="I92" s="216"/>
      <c r="J92" s="216"/>
      <c r="K92" s="216"/>
      <c r="M92" s="144" t="str">
        <f t="shared" si="12"/>
        <v>422</v>
      </c>
      <c r="N92" s="144" t="str">
        <f t="shared" si="13"/>
        <v>42</v>
      </c>
      <c r="R92" s="144">
        <v>4213</v>
      </c>
      <c r="S92" s="144" t="s">
        <v>162</v>
      </c>
      <c r="U92" s="144" t="str">
        <f t="shared" si="18"/>
        <v>42</v>
      </c>
      <c r="V92" s="144" t="str">
        <f t="shared" si="19"/>
        <v>421</v>
      </c>
    </row>
    <row r="93" spans="1:22">
      <c r="A93" s="211" t="s">
        <v>46</v>
      </c>
      <c r="B93" s="211" t="s">
        <v>47</v>
      </c>
      <c r="C93" s="218">
        <v>31</v>
      </c>
      <c r="D93" s="211" t="s">
        <v>93</v>
      </c>
      <c r="E93" s="218">
        <v>4231</v>
      </c>
      <c r="F93" s="211" t="s">
        <v>165</v>
      </c>
      <c r="G93" s="219" t="s">
        <v>180</v>
      </c>
      <c r="H93" s="211" t="str">
        <f t="shared" si="11"/>
        <v>REDOVNA DJELATNOST SVEUČILIŠTA U OSIJEKU (IZ EVIDENCIJSKIH PRIHODA)</v>
      </c>
      <c r="I93" s="216"/>
      <c r="J93" s="216"/>
      <c r="K93" s="216"/>
      <c r="M93" s="144" t="str">
        <f t="shared" si="12"/>
        <v>423</v>
      </c>
      <c r="N93" s="144" t="str">
        <f t="shared" si="13"/>
        <v>42</v>
      </c>
      <c r="R93" s="144">
        <v>4214</v>
      </c>
      <c r="S93" s="144" t="s">
        <v>163</v>
      </c>
      <c r="U93" s="144" t="str">
        <f t="shared" si="18"/>
        <v>42</v>
      </c>
      <c r="V93" s="144" t="str">
        <f t="shared" si="19"/>
        <v>421</v>
      </c>
    </row>
    <row r="94" spans="1:22">
      <c r="A94" s="211" t="s">
        <v>46</v>
      </c>
      <c r="B94" s="211" t="s">
        <v>47</v>
      </c>
      <c r="C94" s="218">
        <v>31</v>
      </c>
      <c r="D94" s="211" t="s">
        <v>93</v>
      </c>
      <c r="E94" s="218">
        <v>4241</v>
      </c>
      <c r="F94" s="211" t="s">
        <v>109</v>
      </c>
      <c r="G94" s="219" t="s">
        <v>180</v>
      </c>
      <c r="H94" s="211" t="str">
        <f t="shared" si="11"/>
        <v>REDOVNA DJELATNOST SVEUČILIŠTA U OSIJEKU (IZ EVIDENCIJSKIH PRIHODA)</v>
      </c>
      <c r="I94" s="216"/>
      <c r="J94" s="216"/>
      <c r="K94" s="216"/>
      <c r="M94" s="144" t="str">
        <f t="shared" si="12"/>
        <v>424</v>
      </c>
      <c r="N94" s="144" t="str">
        <f t="shared" si="13"/>
        <v>42</v>
      </c>
      <c r="R94" s="144">
        <v>4221</v>
      </c>
      <c r="S94" s="144" t="s">
        <v>97</v>
      </c>
      <c r="U94" s="144" t="str">
        <f t="shared" si="18"/>
        <v>42</v>
      </c>
      <c r="V94" s="144" t="str">
        <f t="shared" si="19"/>
        <v>422</v>
      </c>
    </row>
    <row r="95" spans="1:22">
      <c r="A95" s="211" t="s">
        <v>46</v>
      </c>
      <c r="B95" s="211" t="s">
        <v>47</v>
      </c>
      <c r="C95" s="218">
        <v>31</v>
      </c>
      <c r="D95" s="211" t="s">
        <v>93</v>
      </c>
      <c r="E95" s="218">
        <v>4511</v>
      </c>
      <c r="F95" s="211" t="s">
        <v>123</v>
      </c>
      <c r="G95" s="219" t="s">
        <v>180</v>
      </c>
      <c r="H95" s="211" t="str">
        <f t="shared" si="11"/>
        <v>REDOVNA DJELATNOST SVEUČILIŠTA U OSIJEKU (IZ EVIDENCIJSKIH PRIHODA)</v>
      </c>
      <c r="I95" s="216"/>
      <c r="J95" s="216"/>
      <c r="K95" s="216"/>
      <c r="M95" s="144" t="str">
        <f t="shared" si="12"/>
        <v>451</v>
      </c>
      <c r="N95" s="144" t="str">
        <f t="shared" si="13"/>
        <v>45</v>
      </c>
      <c r="R95" s="144">
        <v>4222</v>
      </c>
      <c r="S95" s="144" t="s">
        <v>108</v>
      </c>
      <c r="U95" s="144" t="str">
        <f t="shared" si="18"/>
        <v>42</v>
      </c>
      <c r="V95" s="144" t="str">
        <f t="shared" si="19"/>
        <v>422</v>
      </c>
    </row>
    <row r="96" spans="1:22">
      <c r="A96" s="211" t="s">
        <v>46</v>
      </c>
      <c r="B96" s="211" t="s">
        <v>47</v>
      </c>
      <c r="C96" s="208">
        <v>43</v>
      </c>
      <c r="D96" s="212" t="s">
        <v>98</v>
      </c>
      <c r="E96" s="215">
        <v>3111</v>
      </c>
      <c r="F96" s="214" t="s">
        <v>49</v>
      </c>
      <c r="G96" s="215" t="s">
        <v>180</v>
      </c>
      <c r="H96" s="211" t="str">
        <f t="shared" si="11"/>
        <v>REDOVNA DJELATNOST SVEUČILIŠTA U OSIJEKU (IZ EVIDENCIJSKIH PRIHODA)</v>
      </c>
      <c r="I96" s="216">
        <v>433000</v>
      </c>
      <c r="J96" s="216">
        <v>439948</v>
      </c>
      <c r="K96" s="216">
        <v>443860</v>
      </c>
      <c r="M96" s="144" t="str">
        <f t="shared" si="12"/>
        <v>311</v>
      </c>
      <c r="N96" s="144" t="str">
        <f t="shared" si="13"/>
        <v>31</v>
      </c>
      <c r="R96" s="144">
        <v>4223</v>
      </c>
      <c r="S96" s="144" t="s">
        <v>121</v>
      </c>
      <c r="U96" s="144" t="str">
        <f t="shared" si="18"/>
        <v>42</v>
      </c>
      <c r="V96" s="144" t="str">
        <f t="shared" si="19"/>
        <v>422</v>
      </c>
    </row>
    <row r="97" spans="1:22">
      <c r="A97" s="211" t="s">
        <v>46</v>
      </c>
      <c r="B97" s="211" t="s">
        <v>47</v>
      </c>
      <c r="C97" s="208">
        <v>43</v>
      </c>
      <c r="D97" s="212" t="s">
        <v>98</v>
      </c>
      <c r="E97" s="215">
        <v>3121</v>
      </c>
      <c r="F97" s="214" t="s">
        <v>53</v>
      </c>
      <c r="G97" s="215" t="s">
        <v>180</v>
      </c>
      <c r="H97" s="211" t="str">
        <f t="shared" si="11"/>
        <v>REDOVNA DJELATNOST SVEUČILIŠTA U OSIJEKU (IZ EVIDENCIJSKIH PRIHODA)</v>
      </c>
      <c r="I97" s="216">
        <v>235000</v>
      </c>
      <c r="J97" s="216">
        <v>238354</v>
      </c>
      <c r="K97" s="216">
        <v>240373</v>
      </c>
      <c r="M97" s="144" t="str">
        <f t="shared" si="12"/>
        <v>312</v>
      </c>
      <c r="N97" s="144" t="str">
        <f t="shared" si="13"/>
        <v>31</v>
      </c>
      <c r="R97" s="144">
        <v>4224</v>
      </c>
      <c r="S97" s="144" t="s">
        <v>114</v>
      </c>
      <c r="U97" s="144" t="str">
        <f t="shared" si="18"/>
        <v>42</v>
      </c>
      <c r="V97" s="144" t="str">
        <f t="shared" si="19"/>
        <v>422</v>
      </c>
    </row>
    <row r="98" spans="1:22">
      <c r="A98" s="211" t="s">
        <v>46</v>
      </c>
      <c r="B98" s="211" t="s">
        <v>47</v>
      </c>
      <c r="C98" s="208">
        <v>43</v>
      </c>
      <c r="D98" s="212" t="s">
        <v>98</v>
      </c>
      <c r="E98" s="215">
        <v>3132</v>
      </c>
      <c r="F98" s="214" t="s">
        <v>80</v>
      </c>
      <c r="G98" s="215" t="s">
        <v>180</v>
      </c>
      <c r="H98" s="211" t="str">
        <f t="shared" si="11"/>
        <v>REDOVNA DJELATNOST SVEUČILIŠTA U OSIJEKU (IZ EVIDENCIJSKIH PRIHODA)</v>
      </c>
      <c r="I98" s="216">
        <v>50175</v>
      </c>
      <c r="J98" s="216">
        <v>50874</v>
      </c>
      <c r="K98" s="216">
        <v>51346</v>
      </c>
      <c r="M98" s="144" t="str">
        <f t="shared" si="12"/>
        <v>313</v>
      </c>
      <c r="N98" s="144" t="str">
        <f t="shared" si="13"/>
        <v>31</v>
      </c>
      <c r="R98" s="144">
        <v>4225</v>
      </c>
      <c r="S98" s="144" t="s">
        <v>118</v>
      </c>
      <c r="U98" s="144" t="str">
        <f t="shared" si="18"/>
        <v>42</v>
      </c>
      <c r="V98" s="144" t="str">
        <f t="shared" si="19"/>
        <v>422</v>
      </c>
    </row>
    <row r="99" spans="1:22">
      <c r="A99" s="211" t="s">
        <v>46</v>
      </c>
      <c r="B99" s="211" t="s">
        <v>47</v>
      </c>
      <c r="C99" s="208">
        <v>43</v>
      </c>
      <c r="D99" s="212" t="s">
        <v>98</v>
      </c>
      <c r="E99" s="246">
        <v>3211</v>
      </c>
      <c r="F99" s="247" t="s">
        <v>54</v>
      </c>
      <c r="G99" s="246" t="s">
        <v>180</v>
      </c>
      <c r="H99" s="211" t="str">
        <f t="shared" ref="H99:H111" si="20">IFERROR(VLOOKUP(G99,$X$6:$Y$50,2,FALSE),"")</f>
        <v>REDOVNA DJELATNOST SVEUČILIŠTA U OSIJEKU (IZ EVIDENCIJSKIH PRIHODA)</v>
      </c>
      <c r="I99" s="216">
        <v>352628</v>
      </c>
      <c r="J99" s="216">
        <v>356949</v>
      </c>
      <c r="K99" s="216">
        <v>364679</v>
      </c>
      <c r="M99" s="144" t="str">
        <f t="shared" si="12"/>
        <v>321</v>
      </c>
      <c r="N99" s="144" t="str">
        <f t="shared" si="13"/>
        <v>32</v>
      </c>
      <c r="R99" s="144">
        <v>4226</v>
      </c>
      <c r="S99" s="144" t="s">
        <v>164</v>
      </c>
      <c r="U99" s="144" t="str">
        <f t="shared" si="18"/>
        <v>42</v>
      </c>
      <c r="V99" s="144" t="str">
        <f t="shared" si="19"/>
        <v>422</v>
      </c>
    </row>
    <row r="100" spans="1:22">
      <c r="A100" s="211" t="s">
        <v>46</v>
      </c>
      <c r="B100" s="211" t="s">
        <v>47</v>
      </c>
      <c r="C100" s="208">
        <v>43</v>
      </c>
      <c r="D100" s="212" t="s">
        <v>98</v>
      </c>
      <c r="E100" s="215">
        <v>3212</v>
      </c>
      <c r="F100" s="214" t="s">
        <v>79</v>
      </c>
      <c r="G100" s="215" t="s">
        <v>180</v>
      </c>
      <c r="H100" s="211" t="str">
        <f t="shared" ref="H100:H110" si="21">IFERROR(VLOOKUP(G100,$X$6:$Y$50,2,FALSE),"")</f>
        <v>REDOVNA DJELATNOST SVEUČILIŠTA U OSIJEKU (IZ EVIDENCIJSKIH PRIHODA)</v>
      </c>
      <c r="I100" s="216">
        <v>16700</v>
      </c>
      <c r="J100" s="216">
        <v>17023</v>
      </c>
      <c r="K100" s="216">
        <v>17164</v>
      </c>
      <c r="M100" s="144" t="str">
        <f t="shared" si="12"/>
        <v>321</v>
      </c>
      <c r="N100" s="144" t="str">
        <f t="shared" si="13"/>
        <v>32</v>
      </c>
      <c r="R100" s="144">
        <v>4227</v>
      </c>
      <c r="S100" s="144" t="s">
        <v>132</v>
      </c>
      <c r="U100" s="144" t="str">
        <f t="shared" si="18"/>
        <v>42</v>
      </c>
      <c r="V100" s="144" t="str">
        <f t="shared" si="19"/>
        <v>422</v>
      </c>
    </row>
    <row r="101" spans="1:22">
      <c r="A101" s="211" t="s">
        <v>46</v>
      </c>
      <c r="B101" s="211" t="s">
        <v>47</v>
      </c>
      <c r="C101" s="208">
        <v>43</v>
      </c>
      <c r="D101" s="212" t="s">
        <v>98</v>
      </c>
      <c r="E101" s="215">
        <v>3213</v>
      </c>
      <c r="F101" s="214" t="s">
        <v>112</v>
      </c>
      <c r="G101" s="215" t="s">
        <v>180</v>
      </c>
      <c r="H101" s="211" t="str">
        <f t="shared" si="21"/>
        <v>REDOVNA DJELATNOST SVEUČILIŠTA U OSIJEKU (IZ EVIDENCIJSKIH PRIHODA)</v>
      </c>
      <c r="I101" s="216">
        <v>86150</v>
      </c>
      <c r="J101" s="216">
        <v>87592</v>
      </c>
      <c r="K101" s="216">
        <v>88339</v>
      </c>
      <c r="M101" s="144" t="str">
        <f t="shared" si="12"/>
        <v>321</v>
      </c>
      <c r="N101" s="144" t="str">
        <f t="shared" si="13"/>
        <v>32</v>
      </c>
      <c r="R101" s="144">
        <v>4231</v>
      </c>
      <c r="S101" s="144" t="s">
        <v>165</v>
      </c>
      <c r="U101" s="144" t="str">
        <f t="shared" si="18"/>
        <v>42</v>
      </c>
      <c r="V101" s="144" t="str">
        <f t="shared" si="19"/>
        <v>423</v>
      </c>
    </row>
    <row r="102" spans="1:22">
      <c r="A102" s="211" t="s">
        <v>46</v>
      </c>
      <c r="B102" s="211" t="s">
        <v>47</v>
      </c>
      <c r="C102" s="208">
        <v>43</v>
      </c>
      <c r="D102" s="212" t="s">
        <v>98</v>
      </c>
      <c r="E102" s="215">
        <v>3214</v>
      </c>
      <c r="F102" s="214" t="s">
        <v>85</v>
      </c>
      <c r="G102" s="215" t="s">
        <v>180</v>
      </c>
      <c r="H102" s="211" t="str">
        <f t="shared" si="21"/>
        <v>REDOVNA DJELATNOST SVEUČILIŠTA U OSIJEKU (IZ EVIDENCIJSKIH PRIHODA)</v>
      </c>
      <c r="I102" s="216"/>
      <c r="J102" s="216"/>
      <c r="K102" s="216"/>
      <c r="M102" s="144" t="str">
        <f t="shared" si="12"/>
        <v>321</v>
      </c>
      <c r="N102" s="144" t="str">
        <f t="shared" si="13"/>
        <v>32</v>
      </c>
      <c r="R102" s="144">
        <v>4233</v>
      </c>
      <c r="S102" s="144" t="s">
        <v>173</v>
      </c>
      <c r="U102" s="144" t="str">
        <f t="shared" ref="U102:U129" si="22">LEFT(R102,2)</f>
        <v>42</v>
      </c>
      <c r="V102" s="144" t="str">
        <f t="shared" si="19"/>
        <v>423</v>
      </c>
    </row>
    <row r="103" spans="1:22">
      <c r="A103" s="211" t="s">
        <v>46</v>
      </c>
      <c r="B103" s="211" t="s">
        <v>47</v>
      </c>
      <c r="C103" s="208">
        <v>43</v>
      </c>
      <c r="D103" s="212" t="s">
        <v>98</v>
      </c>
      <c r="E103" s="215">
        <v>3221</v>
      </c>
      <c r="F103" s="214" t="s">
        <v>82</v>
      </c>
      <c r="G103" s="215" t="s">
        <v>180</v>
      </c>
      <c r="H103" s="211" t="str">
        <f t="shared" si="21"/>
        <v>REDOVNA DJELATNOST SVEUČILIŠTA U OSIJEKU (IZ EVIDENCIJSKIH PRIHODA)</v>
      </c>
      <c r="I103" s="216">
        <v>304284</v>
      </c>
      <c r="J103" s="216">
        <v>309648</v>
      </c>
      <c r="K103" s="216">
        <v>312190</v>
      </c>
      <c r="M103" s="144" t="str">
        <f t="shared" si="12"/>
        <v>322</v>
      </c>
      <c r="N103" s="144" t="str">
        <f t="shared" si="13"/>
        <v>32</v>
      </c>
      <c r="R103" s="144">
        <v>4241</v>
      </c>
      <c r="S103" s="144" t="s">
        <v>109</v>
      </c>
      <c r="U103" s="144" t="str">
        <f t="shared" si="22"/>
        <v>42</v>
      </c>
      <c r="V103" s="144" t="str">
        <f t="shared" si="19"/>
        <v>424</v>
      </c>
    </row>
    <row r="104" spans="1:22">
      <c r="A104" s="211" t="s">
        <v>46</v>
      </c>
      <c r="B104" s="211" t="s">
        <v>47</v>
      </c>
      <c r="C104" s="208">
        <v>43</v>
      </c>
      <c r="D104" s="212" t="s">
        <v>98</v>
      </c>
      <c r="E104" s="215">
        <v>3222</v>
      </c>
      <c r="F104" s="214" t="s">
        <v>86</v>
      </c>
      <c r="G104" s="215" t="s">
        <v>180</v>
      </c>
      <c r="H104" s="211" t="str">
        <f t="shared" si="21"/>
        <v>REDOVNA DJELATNOST SVEUČILIŠTA U OSIJEKU (IZ EVIDENCIJSKIH PRIHODA)</v>
      </c>
      <c r="I104" s="216"/>
      <c r="J104" s="216"/>
      <c r="K104" s="216"/>
      <c r="M104" s="144" t="str">
        <f t="shared" si="12"/>
        <v>322</v>
      </c>
      <c r="N104" s="144" t="str">
        <f t="shared" si="13"/>
        <v>32</v>
      </c>
      <c r="R104" s="144">
        <v>4242</v>
      </c>
      <c r="S104" s="144" t="s">
        <v>142</v>
      </c>
      <c r="U104" s="144" t="str">
        <f t="shared" si="22"/>
        <v>42</v>
      </c>
      <c r="V104" s="144" t="str">
        <f t="shared" si="19"/>
        <v>424</v>
      </c>
    </row>
    <row r="105" spans="1:22">
      <c r="A105" s="211" t="s">
        <v>46</v>
      </c>
      <c r="B105" s="211" t="s">
        <v>47</v>
      </c>
      <c r="C105" s="208">
        <v>43</v>
      </c>
      <c r="D105" s="212" t="s">
        <v>98</v>
      </c>
      <c r="E105" s="215">
        <v>3223</v>
      </c>
      <c r="F105" s="214" t="s">
        <v>97</v>
      </c>
      <c r="G105" s="215" t="s">
        <v>180</v>
      </c>
      <c r="H105" s="211" t="str">
        <f t="shared" si="21"/>
        <v>REDOVNA DJELATNOST SVEUČILIŠTA U OSIJEKU (IZ EVIDENCIJSKIH PRIHODA)</v>
      </c>
      <c r="I105" s="216">
        <v>168500</v>
      </c>
      <c r="J105" s="216">
        <v>169618</v>
      </c>
      <c r="K105" s="216">
        <v>170055</v>
      </c>
      <c r="M105" s="144" t="str">
        <f t="shared" si="12"/>
        <v>322</v>
      </c>
      <c r="N105" s="144" t="str">
        <f t="shared" si="13"/>
        <v>32</v>
      </c>
      <c r="R105" s="144">
        <v>4244</v>
      </c>
      <c r="S105" s="144" t="s">
        <v>174</v>
      </c>
      <c r="U105" s="144" t="str">
        <f t="shared" si="22"/>
        <v>42</v>
      </c>
      <c r="V105" s="144" t="str">
        <f t="shared" si="19"/>
        <v>424</v>
      </c>
    </row>
    <row r="106" spans="1:22">
      <c r="A106" s="211" t="s">
        <v>46</v>
      </c>
      <c r="B106" s="211" t="s">
        <v>47</v>
      </c>
      <c r="C106" s="208">
        <v>43</v>
      </c>
      <c r="D106" s="212" t="s">
        <v>98</v>
      </c>
      <c r="E106" s="215">
        <v>3224</v>
      </c>
      <c r="F106" s="214" t="s">
        <v>68</v>
      </c>
      <c r="G106" s="215" t="s">
        <v>180</v>
      </c>
      <c r="H106" s="211" t="str">
        <f t="shared" si="21"/>
        <v>REDOVNA DJELATNOST SVEUČILIŠTA U OSIJEKU (IZ EVIDENCIJSKIH PRIHODA)</v>
      </c>
      <c r="I106" s="216">
        <v>72300</v>
      </c>
      <c r="J106" s="216">
        <v>73450</v>
      </c>
      <c r="K106" s="216">
        <v>74104</v>
      </c>
      <c r="M106" s="144" t="str">
        <f t="shared" si="12"/>
        <v>322</v>
      </c>
      <c r="N106" s="144" t="str">
        <f t="shared" si="13"/>
        <v>32</v>
      </c>
      <c r="R106" s="144">
        <v>4251</v>
      </c>
      <c r="S106" s="144" t="s">
        <v>166</v>
      </c>
      <c r="U106" s="144" t="str">
        <f t="shared" si="22"/>
        <v>42</v>
      </c>
      <c r="V106" s="144" t="str">
        <f t="shared" si="19"/>
        <v>425</v>
      </c>
    </row>
    <row r="107" spans="1:22">
      <c r="A107" s="211" t="s">
        <v>46</v>
      </c>
      <c r="B107" s="211" t="s">
        <v>47</v>
      </c>
      <c r="C107" s="208">
        <v>43</v>
      </c>
      <c r="D107" s="212" t="s">
        <v>98</v>
      </c>
      <c r="E107" s="208">
        <v>3225</v>
      </c>
      <c r="F107" s="220" t="s">
        <v>49</v>
      </c>
      <c r="G107" s="221" t="s">
        <v>180</v>
      </c>
      <c r="H107" s="211" t="str">
        <f t="shared" si="21"/>
        <v>REDOVNA DJELATNOST SVEUČILIŠTA U OSIJEKU (IZ EVIDENCIJSKIH PRIHODA)</v>
      </c>
      <c r="I107" s="216">
        <v>44800</v>
      </c>
      <c r="J107" s="216">
        <v>45634</v>
      </c>
      <c r="K107" s="216">
        <v>46028</v>
      </c>
      <c r="M107" s="144" t="str">
        <f t="shared" si="12"/>
        <v>322</v>
      </c>
      <c r="N107" s="144" t="str">
        <f t="shared" si="13"/>
        <v>32</v>
      </c>
      <c r="R107" s="144">
        <v>4252</v>
      </c>
      <c r="S107" s="144" t="s">
        <v>167</v>
      </c>
      <c r="U107" s="144" t="str">
        <f t="shared" si="22"/>
        <v>42</v>
      </c>
      <c r="V107" s="144" t="str">
        <f t="shared" si="19"/>
        <v>425</v>
      </c>
    </row>
    <row r="108" spans="1:22">
      <c r="A108" s="211" t="s">
        <v>46</v>
      </c>
      <c r="B108" s="211" t="s">
        <v>47</v>
      </c>
      <c r="C108" s="208">
        <v>43</v>
      </c>
      <c r="D108" s="212" t="s">
        <v>98</v>
      </c>
      <c r="E108" s="208">
        <v>3227</v>
      </c>
      <c r="F108" s="220" t="s">
        <v>52</v>
      </c>
      <c r="G108" s="221" t="s">
        <v>180</v>
      </c>
      <c r="H108" s="211" t="str">
        <f t="shared" si="21"/>
        <v>REDOVNA DJELATNOST SVEUČILIŠTA U OSIJEKU (IZ EVIDENCIJSKIH PRIHODA)</v>
      </c>
      <c r="I108" s="216">
        <v>16500</v>
      </c>
      <c r="J108" s="216">
        <v>16830</v>
      </c>
      <c r="K108" s="216">
        <v>16967</v>
      </c>
      <c r="M108" s="144" t="str">
        <f t="shared" si="12"/>
        <v>322</v>
      </c>
      <c r="N108" s="144" t="str">
        <f t="shared" si="13"/>
        <v>32</v>
      </c>
      <c r="R108" s="144">
        <v>4262</v>
      </c>
      <c r="S108" s="144" t="s">
        <v>110</v>
      </c>
      <c r="U108" s="144" t="str">
        <f t="shared" si="22"/>
        <v>42</v>
      </c>
      <c r="V108" s="144" t="str">
        <f t="shared" si="19"/>
        <v>426</v>
      </c>
    </row>
    <row r="109" spans="1:22">
      <c r="A109" s="211" t="s">
        <v>46</v>
      </c>
      <c r="B109" s="211" t="s">
        <v>47</v>
      </c>
      <c r="C109" s="208">
        <v>43</v>
      </c>
      <c r="D109" s="212" t="s">
        <v>98</v>
      </c>
      <c r="E109" s="208">
        <v>3231</v>
      </c>
      <c r="F109" s="220" t="s">
        <v>53</v>
      </c>
      <c r="G109" s="221" t="s">
        <v>180</v>
      </c>
      <c r="H109" s="211" t="str">
        <f t="shared" si="21"/>
        <v>REDOVNA DJELATNOST SVEUČILIŠTA U OSIJEKU (IZ EVIDENCIJSKIH PRIHODA)</v>
      </c>
      <c r="I109" s="216">
        <v>131515</v>
      </c>
      <c r="J109" s="216">
        <v>131951</v>
      </c>
      <c r="K109" s="216">
        <v>132142</v>
      </c>
      <c r="M109" s="144" t="str">
        <f t="shared" si="12"/>
        <v>323</v>
      </c>
      <c r="N109" s="144" t="str">
        <f t="shared" si="13"/>
        <v>32</v>
      </c>
      <c r="R109" s="144">
        <v>4263</v>
      </c>
      <c r="S109" s="144" t="s">
        <v>168</v>
      </c>
      <c r="U109" s="144" t="str">
        <f t="shared" si="22"/>
        <v>42</v>
      </c>
      <c r="V109" s="144" t="str">
        <f t="shared" si="19"/>
        <v>426</v>
      </c>
    </row>
    <row r="110" spans="1:22">
      <c r="A110" s="211" t="s">
        <v>46</v>
      </c>
      <c r="B110" s="211" t="s">
        <v>47</v>
      </c>
      <c r="C110" s="208">
        <v>43</v>
      </c>
      <c r="D110" s="212" t="s">
        <v>98</v>
      </c>
      <c r="E110" s="208">
        <v>3232</v>
      </c>
      <c r="F110" s="220" t="s">
        <v>80</v>
      </c>
      <c r="G110" s="221" t="s">
        <v>180</v>
      </c>
      <c r="H110" s="211" t="str">
        <f t="shared" si="21"/>
        <v>REDOVNA DJELATNOST SVEUČILIŠTA U OSIJEKU (IZ EVIDENCIJSKIH PRIHODA)</v>
      </c>
      <c r="I110" s="216">
        <v>240000</v>
      </c>
      <c r="J110" s="216">
        <v>241533</v>
      </c>
      <c r="K110" s="216">
        <v>242337</v>
      </c>
      <c r="M110" s="144" t="str">
        <f t="shared" si="12"/>
        <v>323</v>
      </c>
      <c r="N110" s="144" t="str">
        <f t="shared" si="13"/>
        <v>32</v>
      </c>
      <c r="R110" s="144">
        <v>4264</v>
      </c>
      <c r="S110" s="144" t="s">
        <v>122</v>
      </c>
      <c r="U110" s="144" t="str">
        <f t="shared" si="22"/>
        <v>42</v>
      </c>
      <c r="V110" s="144" t="str">
        <f t="shared" si="19"/>
        <v>426</v>
      </c>
    </row>
    <row r="111" spans="1:22">
      <c r="A111" s="211" t="s">
        <v>46</v>
      </c>
      <c r="B111" s="211" t="s">
        <v>47</v>
      </c>
      <c r="C111" s="208">
        <v>43</v>
      </c>
      <c r="D111" s="212" t="s">
        <v>98</v>
      </c>
      <c r="E111" s="208">
        <v>3233</v>
      </c>
      <c r="F111" s="220" t="s">
        <v>54</v>
      </c>
      <c r="G111" s="221" t="s">
        <v>180</v>
      </c>
      <c r="H111" s="211" t="str">
        <f t="shared" si="20"/>
        <v>REDOVNA DJELATNOST SVEUČILIŠTA U OSIJEKU (IZ EVIDENCIJSKIH PRIHODA)</v>
      </c>
      <c r="I111" s="216">
        <v>45000</v>
      </c>
      <c r="J111" s="216">
        <v>45769</v>
      </c>
      <c r="K111" s="216">
        <v>46167</v>
      </c>
      <c r="M111" s="144" t="str">
        <f t="shared" si="12"/>
        <v>323</v>
      </c>
      <c r="N111" s="144" t="str">
        <f t="shared" si="13"/>
        <v>32</v>
      </c>
      <c r="R111" s="144">
        <v>4312</v>
      </c>
      <c r="S111" s="144" t="s">
        <v>124</v>
      </c>
      <c r="U111" s="144" t="str">
        <f t="shared" si="22"/>
        <v>43</v>
      </c>
      <c r="V111" s="144" t="str">
        <f t="shared" si="19"/>
        <v>431</v>
      </c>
    </row>
    <row r="112" spans="1:22">
      <c r="A112" s="211" t="s">
        <v>46</v>
      </c>
      <c r="B112" s="211" t="s">
        <v>47</v>
      </c>
      <c r="C112" s="208">
        <v>43</v>
      </c>
      <c r="D112" s="212" t="s">
        <v>98</v>
      </c>
      <c r="E112" s="208">
        <v>3234</v>
      </c>
      <c r="F112" s="220" t="s">
        <v>99</v>
      </c>
      <c r="G112" s="221" t="s">
        <v>180</v>
      </c>
      <c r="H112" s="211" t="str">
        <f t="shared" ref="H112:H143" si="23">IFERROR(VLOOKUP(G112,$X$6:$Y$50,2,FALSE),"")</f>
        <v>REDOVNA DJELATNOST SVEUČILIŠTA U OSIJEKU (IZ EVIDENCIJSKIH PRIHODA)</v>
      </c>
      <c r="I112" s="216">
        <v>9300</v>
      </c>
      <c r="J112" s="216">
        <v>9369</v>
      </c>
      <c r="K112" s="216">
        <v>9396</v>
      </c>
      <c r="M112" s="144" t="str">
        <f t="shared" si="12"/>
        <v>323</v>
      </c>
      <c r="N112" s="144" t="str">
        <f t="shared" si="13"/>
        <v>32</v>
      </c>
      <c r="R112" s="144">
        <v>4411</v>
      </c>
      <c r="S112" s="144" t="s">
        <v>169</v>
      </c>
      <c r="U112" s="144" t="str">
        <f t="shared" si="22"/>
        <v>44</v>
      </c>
      <c r="V112" s="144" t="str">
        <f t="shared" si="19"/>
        <v>441</v>
      </c>
    </row>
    <row r="113" spans="1:22">
      <c r="A113" s="211" t="s">
        <v>46</v>
      </c>
      <c r="B113" s="211" t="s">
        <v>47</v>
      </c>
      <c r="C113" s="208">
        <v>43</v>
      </c>
      <c r="D113" s="212" t="s">
        <v>98</v>
      </c>
      <c r="E113" s="208">
        <v>3235</v>
      </c>
      <c r="F113" s="220" t="s">
        <v>129</v>
      </c>
      <c r="G113" s="221" t="s">
        <v>180</v>
      </c>
      <c r="H113" s="211" t="str">
        <f t="shared" si="23"/>
        <v>REDOVNA DJELATNOST SVEUČILIŠTA U OSIJEKU (IZ EVIDENCIJSKIH PRIHODA)</v>
      </c>
      <c r="I113" s="216">
        <v>132500</v>
      </c>
      <c r="J113" s="216">
        <v>133382</v>
      </c>
      <c r="K113" s="216">
        <v>133850</v>
      </c>
      <c r="M113" s="144" t="str">
        <f t="shared" si="12"/>
        <v>323</v>
      </c>
      <c r="N113" s="144" t="str">
        <f t="shared" si="13"/>
        <v>32</v>
      </c>
      <c r="R113" s="144">
        <v>4511</v>
      </c>
      <c r="S113" s="144" t="s">
        <v>123</v>
      </c>
      <c r="U113" s="144" t="str">
        <f t="shared" si="22"/>
        <v>45</v>
      </c>
      <c r="V113" s="144" t="str">
        <f t="shared" si="19"/>
        <v>451</v>
      </c>
    </row>
    <row r="114" spans="1:22">
      <c r="A114" s="211" t="s">
        <v>46</v>
      </c>
      <c r="B114" s="211" t="s">
        <v>47</v>
      </c>
      <c r="C114" s="208">
        <v>43</v>
      </c>
      <c r="D114" s="212" t="s">
        <v>98</v>
      </c>
      <c r="E114" s="208">
        <v>3236</v>
      </c>
      <c r="F114" s="220" t="s">
        <v>81</v>
      </c>
      <c r="G114" s="221" t="s">
        <v>180</v>
      </c>
      <c r="H114" s="211" t="str">
        <f t="shared" si="23"/>
        <v>REDOVNA DJELATNOST SVEUČILIŠTA U OSIJEKU (IZ EVIDENCIJSKIH PRIHODA)</v>
      </c>
      <c r="I114" s="216">
        <v>20700</v>
      </c>
      <c r="J114" s="216">
        <v>20970</v>
      </c>
      <c r="K114" s="216">
        <v>21166</v>
      </c>
      <c r="M114" s="144" t="str">
        <f t="shared" si="12"/>
        <v>323</v>
      </c>
      <c r="N114" s="144" t="str">
        <f t="shared" si="13"/>
        <v>32</v>
      </c>
      <c r="R114" s="144">
        <v>4521</v>
      </c>
      <c r="S114" s="144" t="s">
        <v>143</v>
      </c>
      <c r="U114" s="144" t="str">
        <f t="shared" si="22"/>
        <v>45</v>
      </c>
      <c r="V114" s="144" t="str">
        <f t="shared" si="19"/>
        <v>452</v>
      </c>
    </row>
    <row r="115" spans="1:22">
      <c r="A115" s="211" t="s">
        <v>46</v>
      </c>
      <c r="B115" s="211" t="s">
        <v>47</v>
      </c>
      <c r="C115" s="208">
        <v>43</v>
      </c>
      <c r="D115" s="212" t="s">
        <v>98</v>
      </c>
      <c r="E115" s="208">
        <v>3237</v>
      </c>
      <c r="F115" s="220" t="s">
        <v>102</v>
      </c>
      <c r="G115" s="221" t="s">
        <v>180</v>
      </c>
      <c r="H115" s="211" t="str">
        <f t="shared" si="23"/>
        <v>REDOVNA DJELATNOST SVEUČILIŠTA U OSIJEKU (IZ EVIDENCIJSKIH PRIHODA)</v>
      </c>
      <c r="I115" s="216">
        <v>1401700</v>
      </c>
      <c r="J115" s="216">
        <v>1403268</v>
      </c>
      <c r="K115" s="216">
        <v>1404212</v>
      </c>
      <c r="M115" s="144" t="str">
        <f t="shared" si="12"/>
        <v>323</v>
      </c>
      <c r="N115" s="144" t="str">
        <f t="shared" si="13"/>
        <v>32</v>
      </c>
      <c r="R115" s="144">
        <v>4531</v>
      </c>
      <c r="S115" s="144" t="s">
        <v>186</v>
      </c>
      <c r="U115" s="144" t="str">
        <f t="shared" si="22"/>
        <v>45</v>
      </c>
      <c r="V115" s="144" t="str">
        <f t="shared" si="19"/>
        <v>453</v>
      </c>
    </row>
    <row r="116" spans="1:22">
      <c r="A116" s="211" t="s">
        <v>46</v>
      </c>
      <c r="B116" s="211" t="s">
        <v>47</v>
      </c>
      <c r="C116" s="208">
        <v>43</v>
      </c>
      <c r="D116" s="212" t="s">
        <v>98</v>
      </c>
      <c r="E116" s="208">
        <v>3238</v>
      </c>
      <c r="F116" s="220" t="s">
        <v>90</v>
      </c>
      <c r="G116" s="221" t="s">
        <v>180</v>
      </c>
      <c r="H116" s="211" t="str">
        <f t="shared" si="23"/>
        <v>REDOVNA DJELATNOST SVEUČILIŠTA U OSIJEKU (IZ EVIDENCIJSKIH PRIHODA)</v>
      </c>
      <c r="I116" s="216">
        <v>5150</v>
      </c>
      <c r="J116" s="216">
        <v>5196</v>
      </c>
      <c r="K116" s="216">
        <v>5232</v>
      </c>
      <c r="M116" s="144" t="str">
        <f t="shared" si="12"/>
        <v>323</v>
      </c>
      <c r="N116" s="144" t="str">
        <f t="shared" si="13"/>
        <v>32</v>
      </c>
      <c r="R116" s="144">
        <v>4541</v>
      </c>
      <c r="S116" s="144" t="s">
        <v>138</v>
      </c>
      <c r="U116" s="144" t="str">
        <f t="shared" si="22"/>
        <v>45</v>
      </c>
      <c r="V116" s="144" t="str">
        <f t="shared" si="19"/>
        <v>454</v>
      </c>
    </row>
    <row r="117" spans="1:22">
      <c r="A117" s="211" t="s">
        <v>46</v>
      </c>
      <c r="B117" s="211" t="s">
        <v>47</v>
      </c>
      <c r="C117" s="208">
        <v>43</v>
      </c>
      <c r="D117" s="212" t="s">
        <v>98</v>
      </c>
      <c r="E117" s="208">
        <v>3239</v>
      </c>
      <c r="F117" s="220" t="s">
        <v>95</v>
      </c>
      <c r="G117" s="221" t="s">
        <v>180</v>
      </c>
      <c r="H117" s="211" t="str">
        <f t="shared" si="23"/>
        <v>REDOVNA DJELATNOST SVEUČILIŠTA U OSIJEKU (IZ EVIDENCIJSKIH PRIHODA)</v>
      </c>
      <c r="I117" s="216">
        <v>555050</v>
      </c>
      <c r="J117" s="216">
        <v>557093</v>
      </c>
      <c r="K117" s="216">
        <v>557998</v>
      </c>
      <c r="M117" s="144" t="str">
        <f t="shared" si="12"/>
        <v>323</v>
      </c>
      <c r="N117" s="144" t="str">
        <f t="shared" si="13"/>
        <v>32</v>
      </c>
      <c r="R117" s="144">
        <v>5121</v>
      </c>
      <c r="S117" s="144" t="s">
        <v>194</v>
      </c>
      <c r="U117" s="144" t="str">
        <f t="shared" si="22"/>
        <v>51</v>
      </c>
      <c r="V117" s="144" t="str">
        <f t="shared" si="19"/>
        <v>512</v>
      </c>
    </row>
    <row r="118" spans="1:22">
      <c r="A118" s="211" t="s">
        <v>46</v>
      </c>
      <c r="B118" s="211" t="s">
        <v>47</v>
      </c>
      <c r="C118" s="208">
        <v>43</v>
      </c>
      <c r="D118" s="212" t="s">
        <v>98</v>
      </c>
      <c r="E118" s="208">
        <v>3241</v>
      </c>
      <c r="F118" s="220" t="s">
        <v>103</v>
      </c>
      <c r="G118" s="221" t="s">
        <v>180</v>
      </c>
      <c r="H118" s="211" t="str">
        <f t="shared" si="23"/>
        <v>REDOVNA DJELATNOST SVEUČILIŠTA U OSIJEKU (IZ EVIDENCIJSKIH PRIHODA)</v>
      </c>
      <c r="I118" s="216">
        <v>548300</v>
      </c>
      <c r="J118" s="216">
        <v>549586</v>
      </c>
      <c r="K118" s="216">
        <v>550536</v>
      </c>
      <c r="M118" s="144" t="str">
        <f t="shared" si="12"/>
        <v>324</v>
      </c>
      <c r="N118" s="144" t="str">
        <f t="shared" si="13"/>
        <v>32</v>
      </c>
      <c r="R118" s="144">
        <v>5443</v>
      </c>
      <c r="S118" s="144" t="s">
        <v>170</v>
      </c>
      <c r="U118" s="144" t="str">
        <f t="shared" si="22"/>
        <v>54</v>
      </c>
      <c r="V118" s="144" t="str">
        <f t="shared" si="19"/>
        <v>544</v>
      </c>
    </row>
    <row r="119" spans="1:22">
      <c r="A119" s="211" t="s">
        <v>46</v>
      </c>
      <c r="B119" s="211" t="s">
        <v>47</v>
      </c>
      <c r="C119" s="208">
        <v>43</v>
      </c>
      <c r="D119" s="212" t="s">
        <v>98</v>
      </c>
      <c r="E119" s="208">
        <v>3291</v>
      </c>
      <c r="F119" s="220" t="s">
        <v>120</v>
      </c>
      <c r="G119" s="221" t="s">
        <v>180</v>
      </c>
      <c r="H119" s="211" t="str">
        <f t="shared" si="23"/>
        <v>REDOVNA DJELATNOST SVEUČILIŠTA U OSIJEKU (IZ EVIDENCIJSKIH PRIHODA)</v>
      </c>
      <c r="I119" s="216"/>
      <c r="J119" s="216"/>
      <c r="K119" s="216"/>
      <c r="M119" s="144" t="str">
        <f t="shared" si="12"/>
        <v>329</v>
      </c>
      <c r="N119" s="144" t="str">
        <f t="shared" si="13"/>
        <v>32</v>
      </c>
      <c r="R119" s="144">
        <v>5121</v>
      </c>
      <c r="S119" s="144" t="s">
        <v>386</v>
      </c>
      <c r="U119" s="144" t="str">
        <f t="shared" si="22"/>
        <v>51</v>
      </c>
      <c r="V119" s="144" t="str">
        <f t="shared" ref="V119:V129" si="24">LEFT(R119,3)</f>
        <v>512</v>
      </c>
    </row>
    <row r="120" spans="1:22">
      <c r="A120" s="211" t="s">
        <v>46</v>
      </c>
      <c r="B120" s="211" t="s">
        <v>47</v>
      </c>
      <c r="C120" s="208">
        <v>43</v>
      </c>
      <c r="D120" s="212" t="s">
        <v>98</v>
      </c>
      <c r="E120" s="208">
        <v>3292</v>
      </c>
      <c r="F120" s="220" t="s">
        <v>104</v>
      </c>
      <c r="G120" s="221" t="s">
        <v>180</v>
      </c>
      <c r="H120" s="211" t="str">
        <f t="shared" si="23"/>
        <v>REDOVNA DJELATNOST SVEUČILIŠTA U OSIJEKU (IZ EVIDENCIJSKIH PRIHODA)</v>
      </c>
      <c r="I120" s="216">
        <v>1000</v>
      </c>
      <c r="J120" s="216">
        <v>1021</v>
      </c>
      <c r="K120" s="216">
        <v>1029</v>
      </c>
      <c r="M120" s="144" t="str">
        <f t="shared" si="12"/>
        <v>329</v>
      </c>
      <c r="N120" s="144" t="str">
        <f t="shared" si="13"/>
        <v>32</v>
      </c>
      <c r="R120" s="144">
        <v>5122</v>
      </c>
      <c r="S120" s="144" t="s">
        <v>387</v>
      </c>
      <c r="U120" s="144" t="str">
        <f t="shared" si="22"/>
        <v>51</v>
      </c>
      <c r="V120" s="144" t="str">
        <f t="shared" si="24"/>
        <v>512</v>
      </c>
    </row>
    <row r="121" spans="1:22">
      <c r="A121" s="211" t="s">
        <v>46</v>
      </c>
      <c r="B121" s="211" t="s">
        <v>47</v>
      </c>
      <c r="C121" s="208">
        <v>43</v>
      </c>
      <c r="D121" s="212" t="s">
        <v>98</v>
      </c>
      <c r="E121" s="208">
        <v>3293</v>
      </c>
      <c r="F121" s="220" t="s">
        <v>91</v>
      </c>
      <c r="G121" s="221" t="s">
        <v>180</v>
      </c>
      <c r="H121" s="211" t="str">
        <f t="shared" si="23"/>
        <v>REDOVNA DJELATNOST SVEUČILIŠTA U OSIJEKU (IZ EVIDENCIJSKIH PRIHODA)</v>
      </c>
      <c r="I121" s="216">
        <v>210400</v>
      </c>
      <c r="J121" s="216">
        <v>208866</v>
      </c>
      <c r="K121" s="216">
        <v>211655</v>
      </c>
      <c r="M121" s="144" t="str">
        <f t="shared" si="12"/>
        <v>329</v>
      </c>
      <c r="N121" s="144" t="str">
        <f t="shared" si="13"/>
        <v>32</v>
      </c>
      <c r="R121" s="144">
        <v>5141</v>
      </c>
      <c r="S121" s="144" t="s">
        <v>388</v>
      </c>
      <c r="U121" s="144" t="str">
        <f t="shared" si="22"/>
        <v>51</v>
      </c>
      <c r="V121" s="144" t="str">
        <f t="shared" si="24"/>
        <v>514</v>
      </c>
    </row>
    <row r="122" spans="1:22">
      <c r="A122" s="211" t="s">
        <v>46</v>
      </c>
      <c r="B122" s="211" t="s">
        <v>47</v>
      </c>
      <c r="C122" s="208">
        <v>43</v>
      </c>
      <c r="D122" s="212" t="s">
        <v>98</v>
      </c>
      <c r="E122" s="208">
        <v>3294</v>
      </c>
      <c r="F122" s="220" t="s">
        <v>79</v>
      </c>
      <c r="G122" s="221" t="s">
        <v>180</v>
      </c>
      <c r="H122" s="211" t="str">
        <f t="shared" si="23"/>
        <v>REDOVNA DJELATNOST SVEUČILIŠTA U OSIJEKU (IZ EVIDENCIJSKIH PRIHODA)</v>
      </c>
      <c r="I122" s="216">
        <v>9450</v>
      </c>
      <c r="J122" s="216">
        <v>9518</v>
      </c>
      <c r="K122" s="216">
        <v>9582</v>
      </c>
      <c r="M122" s="144" t="str">
        <f t="shared" si="12"/>
        <v>329</v>
      </c>
      <c r="N122" s="144" t="str">
        <f t="shared" si="13"/>
        <v>32</v>
      </c>
      <c r="R122" s="144">
        <v>5181</v>
      </c>
      <c r="S122" s="144" t="s">
        <v>389</v>
      </c>
      <c r="U122" s="144" t="str">
        <f t="shared" si="22"/>
        <v>51</v>
      </c>
      <c r="V122" s="144" t="str">
        <f t="shared" si="24"/>
        <v>518</v>
      </c>
    </row>
    <row r="123" spans="1:22">
      <c r="A123" s="211" t="s">
        <v>46</v>
      </c>
      <c r="B123" s="211" t="s">
        <v>47</v>
      </c>
      <c r="C123" s="208">
        <v>43</v>
      </c>
      <c r="D123" s="212" t="s">
        <v>98</v>
      </c>
      <c r="E123" s="208">
        <v>3295</v>
      </c>
      <c r="F123" s="220" t="s">
        <v>92</v>
      </c>
      <c r="G123" s="221" t="s">
        <v>180</v>
      </c>
      <c r="H123" s="211" t="str">
        <f t="shared" si="23"/>
        <v>REDOVNA DJELATNOST SVEUČILIŠTA U OSIJEKU (IZ EVIDENCIJSKIH PRIHODA)</v>
      </c>
      <c r="I123" s="216">
        <v>5300</v>
      </c>
      <c r="J123" s="216">
        <v>5306</v>
      </c>
      <c r="K123" s="216">
        <v>5308</v>
      </c>
      <c r="M123" s="144" t="str">
        <f t="shared" si="12"/>
        <v>329</v>
      </c>
      <c r="N123" s="144" t="str">
        <f t="shared" si="13"/>
        <v>32</v>
      </c>
      <c r="R123" s="144">
        <v>5183</v>
      </c>
      <c r="S123" s="144" t="s">
        <v>390</v>
      </c>
      <c r="U123" s="144" t="str">
        <f t="shared" si="22"/>
        <v>51</v>
      </c>
      <c r="V123" s="144" t="str">
        <f t="shared" si="24"/>
        <v>518</v>
      </c>
    </row>
    <row r="124" spans="1:22">
      <c r="A124" s="211" t="s">
        <v>46</v>
      </c>
      <c r="B124" s="211" t="s">
        <v>47</v>
      </c>
      <c r="C124" s="208">
        <v>43</v>
      </c>
      <c r="D124" s="212" t="s">
        <v>98</v>
      </c>
      <c r="E124" s="208">
        <v>3296</v>
      </c>
      <c r="F124" s="220" t="s">
        <v>112</v>
      </c>
      <c r="G124" s="221" t="s">
        <v>180</v>
      </c>
      <c r="H124" s="211" t="str">
        <f t="shared" si="23"/>
        <v>REDOVNA DJELATNOST SVEUČILIŠTA U OSIJEKU (IZ EVIDENCIJSKIH PRIHODA)</v>
      </c>
      <c r="I124" s="216"/>
      <c r="J124" s="216"/>
      <c r="K124" s="216"/>
      <c r="M124" s="144" t="str">
        <f t="shared" si="12"/>
        <v>329</v>
      </c>
      <c r="N124" s="144" t="str">
        <f t="shared" si="13"/>
        <v>32</v>
      </c>
      <c r="R124" s="144">
        <v>5422</v>
      </c>
      <c r="S124" s="144" t="s">
        <v>391</v>
      </c>
      <c r="U124" s="144" t="str">
        <f t="shared" si="22"/>
        <v>54</v>
      </c>
      <c r="V124" s="144" t="str">
        <f t="shared" si="24"/>
        <v>542</v>
      </c>
    </row>
    <row r="125" spans="1:22">
      <c r="A125" s="211" t="s">
        <v>46</v>
      </c>
      <c r="B125" s="211" t="s">
        <v>47</v>
      </c>
      <c r="C125" s="208">
        <v>43</v>
      </c>
      <c r="D125" s="212" t="s">
        <v>98</v>
      </c>
      <c r="E125" s="208">
        <v>3299</v>
      </c>
      <c r="F125" s="220" t="s">
        <v>55</v>
      </c>
      <c r="G125" s="221" t="s">
        <v>180</v>
      </c>
      <c r="H125" s="211" t="str">
        <f t="shared" si="23"/>
        <v>REDOVNA DJELATNOST SVEUČILIŠTA U OSIJEKU (IZ EVIDENCIJSKIH PRIHODA)</v>
      </c>
      <c r="I125" s="216">
        <v>2650000</v>
      </c>
      <c r="J125" s="216">
        <v>2652822</v>
      </c>
      <c r="K125" s="216">
        <v>2154127</v>
      </c>
      <c r="M125" s="144" t="str">
        <f t="shared" si="12"/>
        <v>329</v>
      </c>
      <c r="N125" s="144" t="str">
        <f t="shared" si="13"/>
        <v>32</v>
      </c>
      <c r="R125" s="144">
        <v>5431</v>
      </c>
      <c r="S125" s="144" t="s">
        <v>369</v>
      </c>
      <c r="U125" s="144" t="str">
        <f t="shared" si="22"/>
        <v>54</v>
      </c>
      <c r="V125" s="144" t="str">
        <f t="shared" si="24"/>
        <v>543</v>
      </c>
    </row>
    <row r="126" spans="1:22">
      <c r="A126" s="211" t="s">
        <v>46</v>
      </c>
      <c r="B126" s="211" t="s">
        <v>47</v>
      </c>
      <c r="C126" s="208">
        <v>43</v>
      </c>
      <c r="D126" s="212" t="s">
        <v>98</v>
      </c>
      <c r="E126" s="208">
        <v>3431</v>
      </c>
      <c r="F126" s="220" t="s">
        <v>68</v>
      </c>
      <c r="G126" s="221" t="s">
        <v>180</v>
      </c>
      <c r="H126" s="211" t="str">
        <f t="shared" si="23"/>
        <v>REDOVNA DJELATNOST SVEUČILIŠTA U OSIJEKU (IZ EVIDENCIJSKIH PRIHODA)</v>
      </c>
      <c r="I126" s="216">
        <v>10900</v>
      </c>
      <c r="J126" s="216">
        <v>11037</v>
      </c>
      <c r="K126" s="216">
        <v>11100</v>
      </c>
      <c r="M126" s="144" t="str">
        <f t="shared" si="12"/>
        <v>343</v>
      </c>
      <c r="N126" s="144" t="str">
        <f t="shared" si="13"/>
        <v>34</v>
      </c>
      <c r="R126" s="144">
        <v>5443</v>
      </c>
      <c r="S126" s="144" t="s">
        <v>392</v>
      </c>
      <c r="U126" s="144" t="str">
        <f t="shared" si="22"/>
        <v>54</v>
      </c>
      <c r="V126" s="144" t="str">
        <f t="shared" si="24"/>
        <v>544</v>
      </c>
    </row>
    <row r="127" spans="1:22">
      <c r="A127" s="211" t="s">
        <v>46</v>
      </c>
      <c r="B127" s="211" t="s">
        <v>47</v>
      </c>
      <c r="C127" s="208">
        <v>43</v>
      </c>
      <c r="D127" s="212" t="s">
        <v>98</v>
      </c>
      <c r="E127" s="208">
        <v>3432</v>
      </c>
      <c r="F127" s="220" t="s">
        <v>105</v>
      </c>
      <c r="G127" s="221" t="s">
        <v>180</v>
      </c>
      <c r="H127" s="211" t="str">
        <f t="shared" si="23"/>
        <v>REDOVNA DJELATNOST SVEUČILIŠTA U OSIJEKU (IZ EVIDENCIJSKIH PRIHODA)</v>
      </c>
      <c r="I127" s="216">
        <v>1500</v>
      </c>
      <c r="J127" s="216">
        <v>1529</v>
      </c>
      <c r="K127" s="216">
        <v>1541</v>
      </c>
      <c r="M127" s="144" t="str">
        <f t="shared" si="12"/>
        <v>343</v>
      </c>
      <c r="N127" s="144" t="str">
        <f t="shared" si="13"/>
        <v>34</v>
      </c>
      <c r="R127" s="144">
        <v>5445</v>
      </c>
      <c r="S127" s="144" t="s">
        <v>393</v>
      </c>
      <c r="U127" s="144" t="str">
        <f t="shared" si="22"/>
        <v>54</v>
      </c>
      <c r="V127" s="144" t="str">
        <f t="shared" si="24"/>
        <v>544</v>
      </c>
    </row>
    <row r="128" spans="1:22">
      <c r="A128" s="211" t="s">
        <v>46</v>
      </c>
      <c r="B128" s="211" t="s">
        <v>47</v>
      </c>
      <c r="C128" s="208">
        <v>43</v>
      </c>
      <c r="D128" s="212" t="s">
        <v>98</v>
      </c>
      <c r="E128" s="208">
        <v>3433</v>
      </c>
      <c r="F128" s="220" t="s">
        <v>85</v>
      </c>
      <c r="G128" s="221" t="s">
        <v>180</v>
      </c>
      <c r="H128" s="211" t="str">
        <f t="shared" si="23"/>
        <v>REDOVNA DJELATNOST SVEUČILIŠTA U OSIJEKU (IZ EVIDENCIJSKIH PRIHODA)</v>
      </c>
      <c r="I128" s="216"/>
      <c r="J128" s="216"/>
      <c r="K128" s="216"/>
      <c r="M128" s="144" t="str">
        <f t="shared" si="12"/>
        <v>343</v>
      </c>
      <c r="N128" s="144" t="str">
        <f t="shared" si="13"/>
        <v>34</v>
      </c>
      <c r="R128" s="144">
        <v>5453</v>
      </c>
      <c r="S128" s="144" t="s">
        <v>394</v>
      </c>
      <c r="U128" s="144" t="str">
        <f t="shared" si="22"/>
        <v>54</v>
      </c>
      <c r="V128" s="144" t="str">
        <f t="shared" si="24"/>
        <v>545</v>
      </c>
    </row>
    <row r="129" spans="1:22">
      <c r="A129" s="211" t="s">
        <v>46</v>
      </c>
      <c r="B129" s="211" t="s">
        <v>47</v>
      </c>
      <c r="C129" s="208">
        <v>43</v>
      </c>
      <c r="D129" s="212" t="s">
        <v>98</v>
      </c>
      <c r="E129" s="208">
        <v>3434</v>
      </c>
      <c r="F129" s="220" t="s">
        <v>82</v>
      </c>
      <c r="G129" s="221" t="s">
        <v>180</v>
      </c>
      <c r="H129" s="211" t="str">
        <f t="shared" si="23"/>
        <v>REDOVNA DJELATNOST SVEUČILIŠTA U OSIJEKU (IZ EVIDENCIJSKIH PRIHODA)</v>
      </c>
      <c r="I129" s="216"/>
      <c r="J129" s="216"/>
      <c r="K129" s="216"/>
      <c r="M129" s="144" t="str">
        <f t="shared" si="12"/>
        <v>343</v>
      </c>
      <c r="N129" s="144" t="str">
        <f t="shared" si="13"/>
        <v>34</v>
      </c>
      <c r="R129" s="144">
        <v>5472</v>
      </c>
      <c r="S129" s="144" t="s">
        <v>395</v>
      </c>
      <c r="U129" s="144" t="str">
        <f t="shared" si="22"/>
        <v>54</v>
      </c>
      <c r="V129" s="144" t="str">
        <f t="shared" si="24"/>
        <v>547</v>
      </c>
    </row>
    <row r="130" spans="1:22">
      <c r="A130" s="211" t="s">
        <v>46</v>
      </c>
      <c r="B130" s="211" t="s">
        <v>47</v>
      </c>
      <c r="C130" s="208">
        <v>43</v>
      </c>
      <c r="D130" s="212" t="s">
        <v>98</v>
      </c>
      <c r="E130" s="208">
        <v>3721</v>
      </c>
      <c r="F130" s="220" t="s">
        <v>83</v>
      </c>
      <c r="G130" s="221" t="s">
        <v>180</v>
      </c>
      <c r="H130" s="211" t="str">
        <f t="shared" si="23"/>
        <v>REDOVNA DJELATNOST SVEUČILIŠTA U OSIJEKU (IZ EVIDENCIJSKIH PRIHODA)</v>
      </c>
      <c r="I130" s="216">
        <v>1054000</v>
      </c>
      <c r="J130" s="216">
        <v>1054714</v>
      </c>
      <c r="K130" s="216">
        <v>1054992</v>
      </c>
      <c r="M130" s="144" t="str">
        <f t="shared" si="12"/>
        <v>372</v>
      </c>
      <c r="N130" s="144" t="str">
        <f t="shared" si="13"/>
        <v>37</v>
      </c>
    </row>
    <row r="131" spans="1:22">
      <c r="A131" s="211" t="s">
        <v>46</v>
      </c>
      <c r="B131" s="211" t="s">
        <v>47</v>
      </c>
      <c r="C131" s="208">
        <v>43</v>
      </c>
      <c r="D131" s="212" t="s">
        <v>98</v>
      </c>
      <c r="E131" s="208">
        <v>3811</v>
      </c>
      <c r="F131" s="220" t="s">
        <v>76</v>
      </c>
      <c r="G131" s="221" t="s">
        <v>180</v>
      </c>
      <c r="H131" s="211" t="str">
        <f t="shared" si="23"/>
        <v>REDOVNA DJELATNOST SVEUČILIŠTA U OSIJEKU (IZ EVIDENCIJSKIH PRIHODA)</v>
      </c>
      <c r="I131" s="216"/>
      <c r="J131" s="216"/>
      <c r="K131" s="216"/>
      <c r="M131" s="144" t="str">
        <f t="shared" si="12"/>
        <v>381</v>
      </c>
      <c r="N131" s="144" t="str">
        <f t="shared" si="13"/>
        <v>38</v>
      </c>
    </row>
    <row r="132" spans="1:22">
      <c r="A132" s="211" t="s">
        <v>46</v>
      </c>
      <c r="B132" s="211" t="s">
        <v>47</v>
      </c>
      <c r="C132" s="208">
        <v>43</v>
      </c>
      <c r="D132" s="212" t="s">
        <v>98</v>
      </c>
      <c r="E132" s="208">
        <v>3812</v>
      </c>
      <c r="F132" s="220" t="s">
        <v>86</v>
      </c>
      <c r="G132" s="221" t="s">
        <v>180</v>
      </c>
      <c r="H132" s="211" t="str">
        <f t="shared" si="23"/>
        <v>REDOVNA DJELATNOST SVEUČILIŠTA U OSIJEKU (IZ EVIDENCIJSKIH PRIHODA)</v>
      </c>
      <c r="I132" s="216"/>
      <c r="J132" s="216"/>
      <c r="K132" s="216"/>
      <c r="M132" s="144" t="str">
        <f t="shared" ref="M132:M195" si="25">LEFT(E132,3)</f>
        <v>381</v>
      </c>
      <c r="N132" s="144" t="str">
        <f t="shared" ref="N132:N195" si="26">LEFT(E132,2)</f>
        <v>38</v>
      </c>
    </row>
    <row r="133" spans="1:22">
      <c r="A133" s="211" t="s">
        <v>46</v>
      </c>
      <c r="B133" s="211" t="s">
        <v>47</v>
      </c>
      <c r="C133" s="208">
        <v>43</v>
      </c>
      <c r="D133" s="212" t="s">
        <v>98</v>
      </c>
      <c r="E133" s="208">
        <v>4123</v>
      </c>
      <c r="F133" s="220" t="s">
        <v>87</v>
      </c>
      <c r="G133" s="221" t="s">
        <v>180</v>
      </c>
      <c r="H133" s="211" t="str">
        <f t="shared" si="23"/>
        <v>REDOVNA DJELATNOST SVEUČILIŠTA U OSIJEKU (IZ EVIDENCIJSKIH PRIHODA)</v>
      </c>
      <c r="I133" s="216"/>
      <c r="J133" s="216"/>
      <c r="K133" s="216"/>
      <c r="M133" s="144" t="str">
        <f t="shared" si="25"/>
        <v>412</v>
      </c>
      <c r="N133" s="144" t="str">
        <f t="shared" si="26"/>
        <v>41</v>
      </c>
    </row>
    <row r="134" spans="1:22">
      <c r="A134" s="211" t="s">
        <v>46</v>
      </c>
      <c r="B134" s="211" t="s">
        <v>47</v>
      </c>
      <c r="C134" s="208">
        <v>43</v>
      </c>
      <c r="D134" s="212" t="s">
        <v>98</v>
      </c>
      <c r="E134" s="208">
        <v>4124</v>
      </c>
      <c r="F134" s="220" t="s">
        <v>56</v>
      </c>
      <c r="G134" s="221" t="s">
        <v>180</v>
      </c>
      <c r="H134" s="211" t="str">
        <f t="shared" si="23"/>
        <v>REDOVNA DJELATNOST SVEUČILIŠTA U OSIJEKU (IZ EVIDENCIJSKIH PRIHODA)</v>
      </c>
      <c r="I134" s="216"/>
      <c r="J134" s="216"/>
      <c r="K134" s="216"/>
      <c r="M134" s="144" t="str">
        <f t="shared" si="25"/>
        <v>412</v>
      </c>
      <c r="N134" s="144" t="str">
        <f t="shared" si="26"/>
        <v>41</v>
      </c>
    </row>
    <row r="135" spans="1:22">
      <c r="A135" s="211" t="s">
        <v>46</v>
      </c>
      <c r="B135" s="211" t="s">
        <v>47</v>
      </c>
      <c r="C135" s="208">
        <v>43</v>
      </c>
      <c r="D135" s="212" t="s">
        <v>98</v>
      </c>
      <c r="E135" s="208">
        <v>4212</v>
      </c>
      <c r="F135" s="220" t="s">
        <v>151</v>
      </c>
      <c r="G135" s="221" t="s">
        <v>180</v>
      </c>
      <c r="H135" s="211" t="str">
        <f t="shared" si="23"/>
        <v>REDOVNA DJELATNOST SVEUČILIŠTA U OSIJEKU (IZ EVIDENCIJSKIH PRIHODA)</v>
      </c>
      <c r="I135" s="216">
        <v>1250000</v>
      </c>
      <c r="J135" s="216">
        <v>1250000</v>
      </c>
      <c r="K135" s="216"/>
      <c r="M135" s="144" t="str">
        <f t="shared" si="25"/>
        <v>421</v>
      </c>
      <c r="N135" s="144" t="str">
        <f t="shared" si="26"/>
        <v>42</v>
      </c>
    </row>
    <row r="136" spans="1:22">
      <c r="A136" s="211" t="s">
        <v>46</v>
      </c>
      <c r="B136" s="211" t="s">
        <v>47</v>
      </c>
      <c r="C136" s="208">
        <v>43</v>
      </c>
      <c r="D136" s="212" t="s">
        <v>98</v>
      </c>
      <c r="E136" s="208">
        <v>4221</v>
      </c>
      <c r="F136" s="220" t="s">
        <v>59</v>
      </c>
      <c r="G136" s="221" t="s">
        <v>180</v>
      </c>
      <c r="H136" s="211" t="str">
        <f t="shared" si="23"/>
        <v>REDOVNA DJELATNOST SVEUČILIŠTA U OSIJEKU (IZ EVIDENCIJSKIH PRIHODA)</v>
      </c>
      <c r="I136" s="216">
        <v>211000</v>
      </c>
      <c r="J136" s="216">
        <v>212844</v>
      </c>
      <c r="K136" s="216">
        <v>211808</v>
      </c>
      <c r="M136" s="144" t="str">
        <f t="shared" si="25"/>
        <v>422</v>
      </c>
      <c r="N136" s="144" t="str">
        <f t="shared" si="26"/>
        <v>42</v>
      </c>
    </row>
    <row r="137" spans="1:22">
      <c r="A137" s="211" t="s">
        <v>46</v>
      </c>
      <c r="B137" s="211" t="s">
        <v>47</v>
      </c>
      <c r="C137" s="208">
        <v>43</v>
      </c>
      <c r="D137" s="212" t="s">
        <v>98</v>
      </c>
      <c r="E137" s="208">
        <v>4222</v>
      </c>
      <c r="F137" s="220" t="s">
        <v>84</v>
      </c>
      <c r="G137" s="221" t="s">
        <v>180</v>
      </c>
      <c r="H137" s="211" t="str">
        <f t="shared" si="23"/>
        <v>REDOVNA DJELATNOST SVEUČILIŠTA U OSIJEKU (IZ EVIDENCIJSKIH PRIHODA)</v>
      </c>
      <c r="I137" s="216"/>
      <c r="J137" s="216"/>
      <c r="K137" s="216"/>
      <c r="M137" s="144" t="str">
        <f t="shared" si="25"/>
        <v>422</v>
      </c>
      <c r="N137" s="144" t="str">
        <f t="shared" si="26"/>
        <v>42</v>
      </c>
    </row>
    <row r="138" spans="1:22">
      <c r="A138" s="211" t="s">
        <v>46</v>
      </c>
      <c r="B138" s="211" t="s">
        <v>47</v>
      </c>
      <c r="C138" s="208">
        <v>43</v>
      </c>
      <c r="D138" s="212" t="s">
        <v>98</v>
      </c>
      <c r="E138" s="208">
        <v>4223</v>
      </c>
      <c r="F138" s="220" t="s">
        <v>100</v>
      </c>
      <c r="G138" s="221" t="s">
        <v>180</v>
      </c>
      <c r="H138" s="211" t="str">
        <f t="shared" si="23"/>
        <v>REDOVNA DJELATNOST SVEUČILIŠTA U OSIJEKU (IZ EVIDENCIJSKIH PRIHODA)</v>
      </c>
      <c r="I138" s="216"/>
      <c r="J138" s="216"/>
      <c r="K138" s="216"/>
      <c r="M138" s="144" t="str">
        <f t="shared" si="25"/>
        <v>422</v>
      </c>
      <c r="N138" s="144" t="str">
        <f t="shared" si="26"/>
        <v>42</v>
      </c>
    </row>
    <row r="139" spans="1:22">
      <c r="A139" s="211" t="s">
        <v>46</v>
      </c>
      <c r="B139" s="211" t="s">
        <v>47</v>
      </c>
      <c r="C139" s="208">
        <v>43</v>
      </c>
      <c r="D139" s="212" t="s">
        <v>98</v>
      </c>
      <c r="E139" s="208">
        <v>4224</v>
      </c>
      <c r="F139" s="220" t="s">
        <v>139</v>
      </c>
      <c r="G139" s="221" t="s">
        <v>180</v>
      </c>
      <c r="H139" s="211" t="str">
        <f t="shared" si="23"/>
        <v>REDOVNA DJELATNOST SVEUČILIŠTA U OSIJEKU (IZ EVIDENCIJSKIH PRIHODA)</v>
      </c>
      <c r="I139" s="216">
        <v>122000</v>
      </c>
      <c r="J139" s="216">
        <v>123092</v>
      </c>
      <c r="K139" s="216">
        <v>123516</v>
      </c>
      <c r="M139" s="144" t="str">
        <f t="shared" si="25"/>
        <v>422</v>
      </c>
      <c r="N139" s="144" t="str">
        <f t="shared" si="26"/>
        <v>42</v>
      </c>
    </row>
    <row r="140" spans="1:22">
      <c r="A140" s="211" t="s">
        <v>46</v>
      </c>
      <c r="B140" s="211" t="s">
        <v>47</v>
      </c>
      <c r="C140" s="208">
        <v>43</v>
      </c>
      <c r="D140" s="212" t="s">
        <v>98</v>
      </c>
      <c r="E140" s="208">
        <v>4225</v>
      </c>
      <c r="F140" s="220" t="s">
        <v>69</v>
      </c>
      <c r="G140" s="221" t="s">
        <v>180</v>
      </c>
      <c r="H140" s="211" t="str">
        <f t="shared" si="23"/>
        <v>REDOVNA DJELATNOST SVEUČILIŠTA U OSIJEKU (IZ EVIDENCIJSKIH PRIHODA)</v>
      </c>
      <c r="I140" s="216"/>
      <c r="J140" s="216"/>
      <c r="K140" s="216"/>
      <c r="M140" s="144" t="str">
        <f t="shared" si="25"/>
        <v>422</v>
      </c>
      <c r="N140" s="144" t="str">
        <f t="shared" si="26"/>
        <v>42</v>
      </c>
    </row>
    <row r="141" spans="1:22">
      <c r="A141" s="211" t="s">
        <v>46</v>
      </c>
      <c r="B141" s="211" t="s">
        <v>47</v>
      </c>
      <c r="C141" s="208">
        <v>43</v>
      </c>
      <c r="D141" s="212" t="s">
        <v>98</v>
      </c>
      <c r="E141" s="208">
        <v>4226</v>
      </c>
      <c r="F141" s="220" t="s">
        <v>67</v>
      </c>
      <c r="G141" s="221" t="s">
        <v>180</v>
      </c>
      <c r="H141" s="211" t="str">
        <f t="shared" si="23"/>
        <v>REDOVNA DJELATNOST SVEUČILIŠTA U OSIJEKU (IZ EVIDENCIJSKIH PRIHODA)</v>
      </c>
      <c r="I141" s="216"/>
      <c r="J141" s="216"/>
      <c r="K141" s="216"/>
      <c r="M141" s="144" t="str">
        <f t="shared" si="25"/>
        <v>422</v>
      </c>
      <c r="N141" s="144" t="str">
        <f t="shared" si="26"/>
        <v>42</v>
      </c>
    </row>
    <row r="142" spans="1:22">
      <c r="A142" s="211" t="s">
        <v>46</v>
      </c>
      <c r="B142" s="211" t="s">
        <v>47</v>
      </c>
      <c r="C142" s="208">
        <v>43</v>
      </c>
      <c r="D142" s="212" t="s">
        <v>98</v>
      </c>
      <c r="E142" s="208">
        <v>4227</v>
      </c>
      <c r="F142" s="220" t="s">
        <v>57</v>
      </c>
      <c r="G142" s="221" t="s">
        <v>180</v>
      </c>
      <c r="H142" s="211" t="str">
        <f t="shared" si="23"/>
        <v>REDOVNA DJELATNOST SVEUČILIŠTA U OSIJEKU (IZ EVIDENCIJSKIH PRIHODA)</v>
      </c>
      <c r="I142" s="216">
        <v>35000</v>
      </c>
      <c r="J142" s="216">
        <v>35050</v>
      </c>
      <c r="K142" s="216">
        <v>35100</v>
      </c>
      <c r="M142" s="144" t="str">
        <f t="shared" si="25"/>
        <v>422</v>
      </c>
      <c r="N142" s="144" t="str">
        <f t="shared" si="26"/>
        <v>42</v>
      </c>
    </row>
    <row r="143" spans="1:22">
      <c r="A143" s="211" t="s">
        <v>46</v>
      </c>
      <c r="B143" s="211" t="s">
        <v>47</v>
      </c>
      <c r="C143" s="208">
        <v>43</v>
      </c>
      <c r="D143" s="212" t="s">
        <v>98</v>
      </c>
      <c r="E143" s="208">
        <v>4231</v>
      </c>
      <c r="F143" s="220" t="s">
        <v>154</v>
      </c>
      <c r="G143" s="221" t="s">
        <v>180</v>
      </c>
      <c r="H143" s="211" t="str">
        <f t="shared" si="23"/>
        <v>REDOVNA DJELATNOST SVEUČILIŠTA U OSIJEKU (IZ EVIDENCIJSKIH PRIHODA)</v>
      </c>
      <c r="I143" s="216"/>
      <c r="J143" s="216"/>
      <c r="K143" s="216"/>
      <c r="M143" s="144" t="str">
        <f t="shared" si="25"/>
        <v>423</v>
      </c>
      <c r="N143" s="144" t="str">
        <f t="shared" si="26"/>
        <v>42</v>
      </c>
    </row>
    <row r="144" spans="1:22">
      <c r="A144" s="211" t="s">
        <v>46</v>
      </c>
      <c r="B144" s="211" t="s">
        <v>47</v>
      </c>
      <c r="C144" s="208">
        <v>43</v>
      </c>
      <c r="D144" s="212" t="s">
        <v>98</v>
      </c>
      <c r="E144" s="208">
        <v>4241</v>
      </c>
      <c r="F144" s="220" t="s">
        <v>131</v>
      </c>
      <c r="G144" s="221" t="s">
        <v>180</v>
      </c>
      <c r="H144" s="211" t="str">
        <f t="shared" ref="H144:H175" si="27">IFERROR(VLOOKUP(G144,$X$6:$Y$50,2,FALSE),"")</f>
        <v>REDOVNA DJELATNOST SVEUČILIŠTA U OSIJEKU (IZ EVIDENCIJSKIH PRIHODA)</v>
      </c>
      <c r="I144" s="216">
        <v>19000</v>
      </c>
      <c r="J144" s="216">
        <v>19234</v>
      </c>
      <c r="K144" s="216">
        <v>19271</v>
      </c>
      <c r="M144" s="144" t="str">
        <f t="shared" si="25"/>
        <v>424</v>
      </c>
      <c r="N144" s="144" t="str">
        <f t="shared" si="26"/>
        <v>42</v>
      </c>
    </row>
    <row r="145" spans="1:14">
      <c r="A145" s="211" t="s">
        <v>46</v>
      </c>
      <c r="B145" s="211" t="s">
        <v>47</v>
      </c>
      <c r="C145" s="208">
        <v>43</v>
      </c>
      <c r="D145" s="212" t="s">
        <v>98</v>
      </c>
      <c r="E145" s="208">
        <v>4262</v>
      </c>
      <c r="F145" s="220" t="s">
        <v>116</v>
      </c>
      <c r="G145" s="221" t="s">
        <v>180</v>
      </c>
      <c r="H145" s="211" t="str">
        <f t="shared" si="27"/>
        <v>REDOVNA DJELATNOST SVEUČILIŠTA U OSIJEKU (IZ EVIDENCIJSKIH PRIHODA)</v>
      </c>
      <c r="I145" s="216"/>
      <c r="J145" s="216"/>
      <c r="K145" s="216"/>
      <c r="M145" s="144" t="str">
        <f t="shared" si="25"/>
        <v>426</v>
      </c>
      <c r="N145" s="144" t="str">
        <f t="shared" si="26"/>
        <v>42</v>
      </c>
    </row>
    <row r="146" spans="1:14">
      <c r="A146" s="211" t="s">
        <v>46</v>
      </c>
      <c r="B146" s="211" t="s">
        <v>47</v>
      </c>
      <c r="C146" s="208">
        <v>43</v>
      </c>
      <c r="D146" s="212" t="s">
        <v>98</v>
      </c>
      <c r="E146" s="208">
        <v>4511</v>
      </c>
      <c r="F146" s="220" t="s">
        <v>62</v>
      </c>
      <c r="G146" s="221" t="s">
        <v>180</v>
      </c>
      <c r="H146" s="211" t="str">
        <f t="shared" si="27"/>
        <v>REDOVNA DJELATNOST SVEUČILIŠTA U OSIJEKU (IZ EVIDENCIJSKIH PRIHODA)</v>
      </c>
      <c r="I146" s="216">
        <v>1250000</v>
      </c>
      <c r="J146" s="216">
        <v>1250000</v>
      </c>
      <c r="K146" s="216">
        <v>1000000</v>
      </c>
      <c r="M146" s="144" t="str">
        <f t="shared" si="25"/>
        <v>451</v>
      </c>
      <c r="N146" s="144" t="str">
        <f t="shared" si="26"/>
        <v>45</v>
      </c>
    </row>
    <row r="147" spans="1:14">
      <c r="A147" s="211" t="s">
        <v>46</v>
      </c>
      <c r="B147" s="211" t="s">
        <v>47</v>
      </c>
      <c r="C147" s="208">
        <v>52</v>
      </c>
      <c r="D147" s="212" t="s">
        <v>98</v>
      </c>
      <c r="E147" s="208">
        <v>3111</v>
      </c>
      <c r="F147" s="220" t="s">
        <v>97</v>
      </c>
      <c r="G147" s="221" t="s">
        <v>94</v>
      </c>
      <c r="H147" s="211" t="str">
        <f t="shared" si="27"/>
        <v>EU PROJEKTI SVEUČILIŠTA U OSIJEKU (IZ EVIDENCIJSKIH PRIHODA)</v>
      </c>
      <c r="I147" s="216"/>
      <c r="J147" s="216"/>
      <c r="K147" s="216"/>
      <c r="M147" s="144" t="str">
        <f t="shared" si="25"/>
        <v>311</v>
      </c>
      <c r="N147" s="144" t="str">
        <f t="shared" si="26"/>
        <v>31</v>
      </c>
    </row>
    <row r="148" spans="1:14">
      <c r="A148" s="211" t="s">
        <v>46</v>
      </c>
      <c r="B148" s="211" t="s">
        <v>47</v>
      </c>
      <c r="C148" s="208">
        <v>52</v>
      </c>
      <c r="D148" s="212" t="s">
        <v>98</v>
      </c>
      <c r="E148" s="208">
        <v>3132</v>
      </c>
      <c r="F148" s="220" t="s">
        <v>108</v>
      </c>
      <c r="G148" s="221" t="s">
        <v>94</v>
      </c>
      <c r="H148" s="211" t="str">
        <f t="shared" si="27"/>
        <v>EU PROJEKTI SVEUČILIŠTA U OSIJEKU (IZ EVIDENCIJSKIH PRIHODA)</v>
      </c>
      <c r="I148" s="216"/>
      <c r="J148" s="216"/>
      <c r="K148" s="216"/>
      <c r="M148" s="144" t="str">
        <f t="shared" si="25"/>
        <v>313</v>
      </c>
      <c r="N148" s="144" t="str">
        <f t="shared" si="26"/>
        <v>31</v>
      </c>
    </row>
    <row r="149" spans="1:14">
      <c r="A149" s="211" t="s">
        <v>46</v>
      </c>
      <c r="B149" s="211" t="s">
        <v>47</v>
      </c>
      <c r="C149" s="208">
        <v>52</v>
      </c>
      <c r="D149" s="212" t="s">
        <v>98</v>
      </c>
      <c r="E149" s="208">
        <v>3211</v>
      </c>
      <c r="F149" s="220" t="s">
        <v>121</v>
      </c>
      <c r="G149" s="221" t="s">
        <v>94</v>
      </c>
      <c r="H149" s="211" t="str">
        <f t="shared" si="27"/>
        <v>EU PROJEKTI SVEUČILIŠTA U OSIJEKU (IZ EVIDENCIJSKIH PRIHODA)</v>
      </c>
      <c r="I149" s="216">
        <v>174048</v>
      </c>
      <c r="J149" s="216">
        <v>121020</v>
      </c>
      <c r="K149" s="216"/>
      <c r="M149" s="144" t="str">
        <f t="shared" si="25"/>
        <v>321</v>
      </c>
      <c r="N149" s="144" t="str">
        <f t="shared" si="26"/>
        <v>32</v>
      </c>
    </row>
    <row r="150" spans="1:14">
      <c r="A150" s="211" t="s">
        <v>46</v>
      </c>
      <c r="B150" s="211" t="s">
        <v>47</v>
      </c>
      <c r="C150" s="208">
        <v>52</v>
      </c>
      <c r="D150" s="212" t="s">
        <v>98</v>
      </c>
      <c r="E150" s="208">
        <v>3213</v>
      </c>
      <c r="F150" s="220" t="s">
        <v>114</v>
      </c>
      <c r="G150" s="221" t="s">
        <v>94</v>
      </c>
      <c r="H150" s="211" t="str">
        <f t="shared" si="27"/>
        <v>EU PROJEKTI SVEUČILIŠTA U OSIJEKU (IZ EVIDENCIJSKIH PRIHODA)</v>
      </c>
      <c r="I150" s="216"/>
      <c r="J150" s="216"/>
      <c r="K150" s="216"/>
      <c r="M150" s="144" t="str">
        <f t="shared" si="25"/>
        <v>321</v>
      </c>
      <c r="N150" s="144" t="str">
        <f t="shared" si="26"/>
        <v>32</v>
      </c>
    </row>
    <row r="151" spans="1:14">
      <c r="A151" s="211" t="s">
        <v>46</v>
      </c>
      <c r="B151" s="211" t="s">
        <v>47</v>
      </c>
      <c r="C151" s="208">
        <v>52</v>
      </c>
      <c r="D151" s="212" t="s">
        <v>98</v>
      </c>
      <c r="E151" s="208">
        <v>3221</v>
      </c>
      <c r="F151" s="220" t="s">
        <v>118</v>
      </c>
      <c r="G151" s="221" t="s">
        <v>94</v>
      </c>
      <c r="H151" s="211" t="str">
        <f t="shared" si="27"/>
        <v>EU PROJEKTI SVEUČILIŠTA U OSIJEKU (IZ EVIDENCIJSKIH PRIHODA)</v>
      </c>
      <c r="I151" s="216">
        <v>25000</v>
      </c>
      <c r="J151" s="216">
        <v>15000</v>
      </c>
      <c r="K151" s="216"/>
      <c r="M151" s="144" t="str">
        <f t="shared" si="25"/>
        <v>322</v>
      </c>
      <c r="N151" s="144" t="str">
        <f t="shared" si="26"/>
        <v>32</v>
      </c>
    </row>
    <row r="152" spans="1:14">
      <c r="A152" s="211" t="s">
        <v>46</v>
      </c>
      <c r="B152" s="211" t="s">
        <v>47</v>
      </c>
      <c r="C152" s="208">
        <v>52</v>
      </c>
      <c r="D152" s="212" t="s">
        <v>98</v>
      </c>
      <c r="E152" s="208">
        <v>3222</v>
      </c>
      <c r="F152" s="220" t="s">
        <v>164</v>
      </c>
      <c r="G152" s="221" t="s">
        <v>94</v>
      </c>
      <c r="H152" s="211" t="str">
        <f t="shared" si="27"/>
        <v>EU PROJEKTI SVEUČILIŠTA U OSIJEKU (IZ EVIDENCIJSKIH PRIHODA)</v>
      </c>
      <c r="I152" s="216"/>
      <c r="J152" s="216"/>
      <c r="K152" s="216"/>
      <c r="M152" s="144" t="str">
        <f t="shared" si="25"/>
        <v>322</v>
      </c>
      <c r="N152" s="144" t="str">
        <f t="shared" si="26"/>
        <v>32</v>
      </c>
    </row>
    <row r="153" spans="1:14">
      <c r="A153" s="211" t="s">
        <v>46</v>
      </c>
      <c r="B153" s="211" t="s">
        <v>47</v>
      </c>
      <c r="C153" s="208">
        <v>52</v>
      </c>
      <c r="D153" s="212" t="s">
        <v>98</v>
      </c>
      <c r="E153" s="208">
        <v>3223</v>
      </c>
      <c r="F153" s="220" t="s">
        <v>132</v>
      </c>
      <c r="G153" s="221" t="s">
        <v>94</v>
      </c>
      <c r="H153" s="211" t="str">
        <f t="shared" si="27"/>
        <v>EU PROJEKTI SVEUČILIŠTA U OSIJEKU (IZ EVIDENCIJSKIH PRIHODA)</v>
      </c>
      <c r="I153" s="216"/>
      <c r="J153" s="216"/>
      <c r="K153" s="216"/>
      <c r="M153" s="144" t="str">
        <f t="shared" si="25"/>
        <v>322</v>
      </c>
      <c r="N153" s="144" t="str">
        <f t="shared" si="26"/>
        <v>32</v>
      </c>
    </row>
    <row r="154" spans="1:14">
      <c r="A154" s="211" t="s">
        <v>46</v>
      </c>
      <c r="B154" s="211" t="s">
        <v>47</v>
      </c>
      <c r="C154" s="208">
        <v>52</v>
      </c>
      <c r="D154" s="212" t="s">
        <v>98</v>
      </c>
      <c r="E154" s="208">
        <v>3233</v>
      </c>
      <c r="F154" s="220" t="s">
        <v>165</v>
      </c>
      <c r="G154" s="221" t="s">
        <v>94</v>
      </c>
      <c r="H154" s="211" t="str">
        <f t="shared" si="27"/>
        <v>EU PROJEKTI SVEUČILIŠTA U OSIJEKU (IZ EVIDENCIJSKIH PRIHODA)</v>
      </c>
      <c r="I154" s="216">
        <v>30000</v>
      </c>
      <c r="J154" s="216">
        <v>10000</v>
      </c>
      <c r="K154" s="216"/>
      <c r="M154" s="144" t="str">
        <f t="shared" si="25"/>
        <v>323</v>
      </c>
      <c r="N154" s="144" t="str">
        <f t="shared" si="26"/>
        <v>32</v>
      </c>
    </row>
    <row r="155" spans="1:14">
      <c r="A155" s="211" t="s">
        <v>46</v>
      </c>
      <c r="B155" s="211" t="s">
        <v>47</v>
      </c>
      <c r="C155" s="208">
        <v>52</v>
      </c>
      <c r="D155" s="212" t="s">
        <v>98</v>
      </c>
      <c r="E155" s="208">
        <v>3237</v>
      </c>
      <c r="F155" s="220" t="s">
        <v>109</v>
      </c>
      <c r="G155" s="221" t="s">
        <v>94</v>
      </c>
      <c r="H155" s="211" t="str">
        <f t="shared" si="27"/>
        <v>EU PROJEKTI SVEUČILIŠTA U OSIJEKU (IZ EVIDENCIJSKIH PRIHODA)</v>
      </c>
      <c r="I155" s="216">
        <v>185000</v>
      </c>
      <c r="J155" s="216">
        <v>100000</v>
      </c>
      <c r="K155" s="216"/>
      <c r="M155" s="144" t="str">
        <f t="shared" si="25"/>
        <v>323</v>
      </c>
      <c r="N155" s="144" t="str">
        <f t="shared" si="26"/>
        <v>32</v>
      </c>
    </row>
    <row r="156" spans="1:14">
      <c r="A156" s="211" t="s">
        <v>46</v>
      </c>
      <c r="B156" s="211" t="s">
        <v>47</v>
      </c>
      <c r="C156" s="208">
        <v>52</v>
      </c>
      <c r="D156" s="212" t="s">
        <v>98</v>
      </c>
      <c r="E156" s="208">
        <v>3238</v>
      </c>
      <c r="F156" s="220" t="s">
        <v>110</v>
      </c>
      <c r="G156" s="221" t="s">
        <v>94</v>
      </c>
      <c r="H156" s="211" t="str">
        <f t="shared" si="27"/>
        <v>EU PROJEKTI SVEUČILIŠTA U OSIJEKU (IZ EVIDENCIJSKIH PRIHODA)</v>
      </c>
      <c r="I156" s="216"/>
      <c r="J156" s="216"/>
      <c r="K156" s="216"/>
      <c r="M156" s="144" t="str">
        <f t="shared" si="25"/>
        <v>323</v>
      </c>
      <c r="N156" s="144" t="str">
        <f t="shared" si="26"/>
        <v>32</v>
      </c>
    </row>
    <row r="157" spans="1:14">
      <c r="A157" s="211" t="s">
        <v>46</v>
      </c>
      <c r="B157" s="211" t="s">
        <v>47</v>
      </c>
      <c r="C157" s="208">
        <v>52</v>
      </c>
      <c r="D157" s="212" t="s">
        <v>98</v>
      </c>
      <c r="E157" s="208">
        <v>3239</v>
      </c>
      <c r="F157" s="220" t="s">
        <v>123</v>
      </c>
      <c r="G157" s="221" t="s">
        <v>94</v>
      </c>
      <c r="H157" s="211" t="str">
        <f t="shared" si="27"/>
        <v>EU PROJEKTI SVEUČILIŠTA U OSIJEKU (IZ EVIDENCIJSKIH PRIHODA)</v>
      </c>
      <c r="I157" s="216">
        <v>35000</v>
      </c>
      <c r="J157" s="216">
        <v>12500</v>
      </c>
      <c r="K157" s="216"/>
      <c r="M157" s="144" t="str">
        <f t="shared" si="25"/>
        <v>323</v>
      </c>
      <c r="N157" s="144" t="str">
        <f t="shared" si="26"/>
        <v>32</v>
      </c>
    </row>
    <row r="158" spans="1:14">
      <c r="A158" s="211" t="s">
        <v>46</v>
      </c>
      <c r="B158" s="211" t="s">
        <v>47</v>
      </c>
      <c r="C158" s="208">
        <v>52</v>
      </c>
      <c r="D158" s="212" t="s">
        <v>88</v>
      </c>
      <c r="E158" s="208">
        <v>3241</v>
      </c>
      <c r="F158" s="220" t="s">
        <v>80</v>
      </c>
      <c r="G158" s="221" t="s">
        <v>94</v>
      </c>
      <c r="H158" s="211" t="str">
        <f t="shared" si="27"/>
        <v>EU PROJEKTI SVEUČILIŠTA U OSIJEKU (IZ EVIDENCIJSKIH PRIHODA)</v>
      </c>
      <c r="I158" s="216"/>
      <c r="J158" s="216"/>
      <c r="K158" s="216"/>
      <c r="M158" s="144" t="str">
        <f t="shared" si="25"/>
        <v>324</v>
      </c>
      <c r="N158" s="144" t="str">
        <f t="shared" si="26"/>
        <v>32</v>
      </c>
    </row>
    <row r="159" spans="1:14">
      <c r="A159" s="211" t="s">
        <v>46</v>
      </c>
      <c r="B159" s="211" t="s">
        <v>47</v>
      </c>
      <c r="C159" s="208">
        <v>52</v>
      </c>
      <c r="D159" s="212" t="s">
        <v>88</v>
      </c>
      <c r="E159" s="208">
        <v>3293</v>
      </c>
      <c r="F159" s="220" t="s">
        <v>68</v>
      </c>
      <c r="G159" s="221" t="s">
        <v>94</v>
      </c>
      <c r="H159" s="211" t="str">
        <f t="shared" si="27"/>
        <v>EU PROJEKTI SVEUČILIŠTA U OSIJEKU (IZ EVIDENCIJSKIH PRIHODA)</v>
      </c>
      <c r="I159" s="216">
        <v>37000</v>
      </c>
      <c r="J159" s="216">
        <v>16000</v>
      </c>
      <c r="K159" s="216"/>
      <c r="M159" s="144" t="str">
        <f t="shared" si="25"/>
        <v>329</v>
      </c>
      <c r="N159" s="144" t="str">
        <f t="shared" si="26"/>
        <v>32</v>
      </c>
    </row>
    <row r="160" spans="1:14">
      <c r="A160" s="211" t="s">
        <v>46</v>
      </c>
      <c r="B160" s="211" t="s">
        <v>47</v>
      </c>
      <c r="C160" s="208">
        <v>52</v>
      </c>
      <c r="D160" s="212" t="s">
        <v>88</v>
      </c>
      <c r="E160" s="208">
        <v>3299</v>
      </c>
      <c r="F160" s="220" t="s">
        <v>49</v>
      </c>
      <c r="G160" s="221" t="s">
        <v>94</v>
      </c>
      <c r="H160" s="211" t="str">
        <f t="shared" si="27"/>
        <v>EU PROJEKTI SVEUČILIŠTA U OSIJEKU (IZ EVIDENCIJSKIH PRIHODA)</v>
      </c>
      <c r="I160" s="216">
        <v>26633</v>
      </c>
      <c r="J160" s="216">
        <v>13025</v>
      </c>
      <c r="K160" s="216"/>
      <c r="M160" s="144" t="str">
        <f t="shared" si="25"/>
        <v>329</v>
      </c>
      <c r="N160" s="144" t="str">
        <f t="shared" si="26"/>
        <v>32</v>
      </c>
    </row>
    <row r="161" spans="1:14">
      <c r="A161" s="211" t="s">
        <v>46</v>
      </c>
      <c r="B161" s="211" t="s">
        <v>47</v>
      </c>
      <c r="C161" s="208">
        <v>52</v>
      </c>
      <c r="D161" s="212" t="s">
        <v>88</v>
      </c>
      <c r="E161" s="208">
        <v>3693</v>
      </c>
      <c r="F161" s="220" t="s">
        <v>53</v>
      </c>
      <c r="G161" s="221" t="s">
        <v>94</v>
      </c>
      <c r="H161" s="211" t="str">
        <f t="shared" si="27"/>
        <v>EU PROJEKTI SVEUČILIŠTA U OSIJEKU (IZ EVIDENCIJSKIH PRIHODA)</v>
      </c>
      <c r="I161" s="216">
        <v>2220000</v>
      </c>
      <c r="J161" s="216">
        <v>180000</v>
      </c>
      <c r="K161" s="216"/>
      <c r="M161" s="144" t="str">
        <f t="shared" si="25"/>
        <v>369</v>
      </c>
      <c r="N161" s="144" t="str">
        <f t="shared" si="26"/>
        <v>36</v>
      </c>
    </row>
    <row r="162" spans="1:14">
      <c r="A162" s="211" t="s">
        <v>46</v>
      </c>
      <c r="B162" s="211" t="s">
        <v>47</v>
      </c>
      <c r="C162" s="208">
        <v>52</v>
      </c>
      <c r="D162" s="212" t="s">
        <v>88</v>
      </c>
      <c r="E162" s="208">
        <v>3723</v>
      </c>
      <c r="F162" s="220" t="s">
        <v>80</v>
      </c>
      <c r="G162" s="221" t="s">
        <v>94</v>
      </c>
      <c r="H162" s="211" t="str">
        <f t="shared" si="27"/>
        <v>EU PROJEKTI SVEUČILIŠTA U OSIJEKU (IZ EVIDENCIJSKIH PRIHODA)</v>
      </c>
      <c r="I162" s="216">
        <v>5180000</v>
      </c>
      <c r="J162" s="216">
        <v>420000</v>
      </c>
      <c r="K162" s="216"/>
      <c r="M162" s="144" t="str">
        <f t="shared" si="25"/>
        <v>372</v>
      </c>
      <c r="N162" s="144" t="str">
        <f t="shared" si="26"/>
        <v>37</v>
      </c>
    </row>
    <row r="163" spans="1:14">
      <c r="A163" s="211" t="s">
        <v>46</v>
      </c>
      <c r="B163" s="211" t="s">
        <v>47</v>
      </c>
      <c r="C163" s="208">
        <v>52</v>
      </c>
      <c r="D163" s="212" t="s">
        <v>88</v>
      </c>
      <c r="E163" s="208">
        <v>4224</v>
      </c>
      <c r="F163" s="220" t="s">
        <v>99</v>
      </c>
      <c r="G163" s="221" t="s">
        <v>94</v>
      </c>
      <c r="H163" s="211" t="str">
        <f t="shared" ref="H163:H187" si="28">IFERROR(VLOOKUP(G163,$X$6:$Y$50,2,FALSE),"")</f>
        <v>EU PROJEKTI SVEUČILIŠTA U OSIJEKU (IZ EVIDENCIJSKIH PRIHODA)</v>
      </c>
      <c r="I163" s="216"/>
      <c r="J163" s="216"/>
      <c r="K163" s="216"/>
      <c r="M163" s="144" t="str">
        <f t="shared" si="25"/>
        <v>422</v>
      </c>
      <c r="N163" s="144" t="str">
        <f t="shared" si="26"/>
        <v>42</v>
      </c>
    </row>
    <row r="164" spans="1:14">
      <c r="A164" s="211" t="s">
        <v>46</v>
      </c>
      <c r="B164" s="211" t="s">
        <v>47</v>
      </c>
      <c r="C164" s="208">
        <v>52</v>
      </c>
      <c r="D164" s="212" t="s">
        <v>88</v>
      </c>
      <c r="E164" s="208">
        <v>4225</v>
      </c>
      <c r="F164" s="220" t="s">
        <v>81</v>
      </c>
      <c r="G164" s="221" t="s">
        <v>94</v>
      </c>
      <c r="H164" s="211" t="str">
        <f t="shared" si="28"/>
        <v>EU PROJEKTI SVEUČILIŠTA U OSIJEKU (IZ EVIDENCIJSKIH PRIHODA)</v>
      </c>
      <c r="I164" s="216"/>
      <c r="J164" s="216"/>
      <c r="K164" s="216"/>
      <c r="M164" s="144" t="str">
        <f t="shared" si="25"/>
        <v>422</v>
      </c>
      <c r="N164" s="144" t="str">
        <f t="shared" si="26"/>
        <v>42</v>
      </c>
    </row>
    <row r="165" spans="1:14">
      <c r="A165" s="211" t="s">
        <v>46</v>
      </c>
      <c r="B165" s="211" t="s">
        <v>47</v>
      </c>
      <c r="C165" s="208">
        <v>52</v>
      </c>
      <c r="D165" s="212" t="s">
        <v>88</v>
      </c>
      <c r="E165" s="208">
        <v>3111</v>
      </c>
      <c r="F165" s="220" t="s">
        <v>79</v>
      </c>
      <c r="G165" s="221" t="s">
        <v>180</v>
      </c>
      <c r="H165" s="211" t="str">
        <f>IFERROR(VLOOKUP(G165,$X$6:$Y$50,2,FALSE),"")</f>
        <v>REDOVNA DJELATNOST SVEUČILIŠTA U OSIJEKU (IZ EVIDENCIJSKIH PRIHODA)</v>
      </c>
      <c r="I165" s="216"/>
      <c r="J165" s="216"/>
      <c r="K165" s="216"/>
      <c r="M165" s="144" t="str">
        <f t="shared" si="25"/>
        <v>311</v>
      </c>
      <c r="N165" s="144" t="str">
        <f t="shared" si="26"/>
        <v>31</v>
      </c>
    </row>
    <row r="166" spans="1:14">
      <c r="A166" s="211" t="s">
        <v>46</v>
      </c>
      <c r="B166" s="211" t="s">
        <v>47</v>
      </c>
      <c r="C166" s="208">
        <v>52</v>
      </c>
      <c r="D166" s="212" t="s">
        <v>88</v>
      </c>
      <c r="E166" s="208">
        <v>3121</v>
      </c>
      <c r="F166" s="220" t="s">
        <v>112</v>
      </c>
      <c r="G166" s="221" t="s">
        <v>180</v>
      </c>
      <c r="H166" s="211" t="str">
        <f>IFERROR(VLOOKUP(G166,$X$6:$Y$50,2,FALSE),"")</f>
        <v>REDOVNA DJELATNOST SVEUČILIŠTA U OSIJEKU (IZ EVIDENCIJSKIH PRIHODA)</v>
      </c>
      <c r="I166" s="216"/>
      <c r="J166" s="216"/>
      <c r="K166" s="216"/>
      <c r="M166" s="144" t="str">
        <f t="shared" si="25"/>
        <v>312</v>
      </c>
      <c r="N166" s="144" t="str">
        <f t="shared" si="26"/>
        <v>31</v>
      </c>
    </row>
    <row r="167" spans="1:14">
      <c r="A167" s="211" t="s">
        <v>46</v>
      </c>
      <c r="B167" s="211" t="s">
        <v>47</v>
      </c>
      <c r="C167" s="208">
        <v>52</v>
      </c>
      <c r="D167" s="212" t="s">
        <v>88</v>
      </c>
      <c r="E167" s="208">
        <v>3132</v>
      </c>
      <c r="F167" s="220" t="s">
        <v>68</v>
      </c>
      <c r="G167" s="221" t="s">
        <v>180</v>
      </c>
      <c r="H167" s="211" t="str">
        <f t="shared" si="28"/>
        <v>REDOVNA DJELATNOST SVEUČILIŠTA U OSIJEKU (IZ EVIDENCIJSKIH PRIHODA)</v>
      </c>
      <c r="I167" s="216"/>
      <c r="J167" s="216"/>
      <c r="K167" s="216"/>
      <c r="M167" s="144" t="str">
        <f t="shared" si="25"/>
        <v>313</v>
      </c>
      <c r="N167" s="144" t="str">
        <f t="shared" si="26"/>
        <v>31</v>
      </c>
    </row>
    <row r="168" spans="1:14">
      <c r="A168" s="211" t="s">
        <v>46</v>
      </c>
      <c r="B168" s="211" t="s">
        <v>47</v>
      </c>
      <c r="C168" s="208">
        <v>52</v>
      </c>
      <c r="D168" s="212" t="s">
        <v>88</v>
      </c>
      <c r="E168" s="208">
        <v>3211</v>
      </c>
      <c r="F168" s="220" t="s">
        <v>85</v>
      </c>
      <c r="G168" s="221" t="s">
        <v>180</v>
      </c>
      <c r="H168" s="211" t="str">
        <f t="shared" ref="H168:H185" si="29">IFERROR(VLOOKUP(G168,$X$6:$Y$50,2,FALSE),"")</f>
        <v>REDOVNA DJELATNOST SVEUČILIŠTA U OSIJEKU (IZ EVIDENCIJSKIH PRIHODA)</v>
      </c>
      <c r="I168" s="216"/>
      <c r="J168" s="216"/>
      <c r="K168" s="216"/>
      <c r="M168" s="144" t="str">
        <f t="shared" si="25"/>
        <v>321</v>
      </c>
      <c r="N168" s="144" t="str">
        <f t="shared" si="26"/>
        <v>32</v>
      </c>
    </row>
    <row r="169" spans="1:14">
      <c r="A169" s="211" t="s">
        <v>46</v>
      </c>
      <c r="B169" s="211" t="s">
        <v>47</v>
      </c>
      <c r="C169" s="208">
        <v>52</v>
      </c>
      <c r="D169" s="212" t="s">
        <v>88</v>
      </c>
      <c r="E169" s="208">
        <v>3212</v>
      </c>
      <c r="F169" s="220" t="s">
        <v>82</v>
      </c>
      <c r="G169" s="221" t="s">
        <v>180</v>
      </c>
      <c r="H169" s="211" t="str">
        <f t="shared" si="29"/>
        <v>REDOVNA DJELATNOST SVEUČILIŠTA U OSIJEKU (IZ EVIDENCIJSKIH PRIHODA)</v>
      </c>
      <c r="I169" s="216"/>
      <c r="J169" s="216"/>
      <c r="K169" s="216"/>
      <c r="M169" s="144" t="str">
        <f t="shared" si="25"/>
        <v>321</v>
      </c>
      <c r="N169" s="144" t="str">
        <f t="shared" si="26"/>
        <v>32</v>
      </c>
    </row>
    <row r="170" spans="1:14">
      <c r="A170" s="211" t="s">
        <v>46</v>
      </c>
      <c r="B170" s="211" t="s">
        <v>47</v>
      </c>
      <c r="C170" s="208">
        <v>52</v>
      </c>
      <c r="D170" s="212" t="s">
        <v>88</v>
      </c>
      <c r="E170" s="208">
        <v>3213</v>
      </c>
      <c r="F170" s="220" t="s">
        <v>86</v>
      </c>
      <c r="G170" s="221" t="s">
        <v>180</v>
      </c>
      <c r="H170" s="211" t="str">
        <f t="shared" si="29"/>
        <v>REDOVNA DJELATNOST SVEUČILIŠTA U OSIJEKU (IZ EVIDENCIJSKIH PRIHODA)</v>
      </c>
      <c r="I170" s="216"/>
      <c r="J170" s="216"/>
      <c r="K170" s="216"/>
      <c r="M170" s="144" t="str">
        <f t="shared" si="25"/>
        <v>321</v>
      </c>
      <c r="N170" s="144" t="str">
        <f t="shared" si="26"/>
        <v>32</v>
      </c>
    </row>
    <row r="171" spans="1:14">
      <c r="A171" s="211" t="s">
        <v>46</v>
      </c>
      <c r="B171" s="211" t="s">
        <v>47</v>
      </c>
      <c r="C171" s="208">
        <v>52</v>
      </c>
      <c r="D171" s="212" t="s">
        <v>88</v>
      </c>
      <c r="E171" s="208">
        <v>3221</v>
      </c>
      <c r="F171" s="220" t="s">
        <v>106</v>
      </c>
      <c r="G171" s="221" t="s">
        <v>180</v>
      </c>
      <c r="H171" s="211" t="str">
        <f t="shared" si="29"/>
        <v>REDOVNA DJELATNOST SVEUČILIŠTA U OSIJEKU (IZ EVIDENCIJSKIH PRIHODA)</v>
      </c>
      <c r="I171" s="216"/>
      <c r="J171" s="216"/>
      <c r="K171" s="216"/>
      <c r="M171" s="144" t="str">
        <f t="shared" si="25"/>
        <v>322</v>
      </c>
      <c r="N171" s="144" t="str">
        <f t="shared" si="26"/>
        <v>32</v>
      </c>
    </row>
    <row r="172" spans="1:14">
      <c r="A172" s="211" t="s">
        <v>46</v>
      </c>
      <c r="B172" s="211" t="s">
        <v>47</v>
      </c>
      <c r="C172" s="208">
        <v>52</v>
      </c>
      <c r="D172" s="212" t="s">
        <v>88</v>
      </c>
      <c r="E172" s="208">
        <v>3223</v>
      </c>
      <c r="F172" s="220" t="s">
        <v>62</v>
      </c>
      <c r="G172" s="221" t="s">
        <v>180</v>
      </c>
      <c r="H172" s="211" t="str">
        <f t="shared" si="29"/>
        <v>REDOVNA DJELATNOST SVEUČILIŠTA U OSIJEKU (IZ EVIDENCIJSKIH PRIHODA)</v>
      </c>
      <c r="I172" s="216"/>
      <c r="J172" s="216"/>
      <c r="K172" s="216"/>
      <c r="M172" s="144" t="str">
        <f t="shared" si="25"/>
        <v>322</v>
      </c>
      <c r="N172" s="144" t="str">
        <f t="shared" si="26"/>
        <v>32</v>
      </c>
    </row>
    <row r="173" spans="1:14">
      <c r="A173" s="211" t="s">
        <v>46</v>
      </c>
      <c r="B173" s="211" t="s">
        <v>47</v>
      </c>
      <c r="C173" s="208">
        <v>52</v>
      </c>
      <c r="D173" s="212" t="s">
        <v>88</v>
      </c>
      <c r="E173" s="208">
        <v>3224</v>
      </c>
      <c r="F173" s="220" t="s">
        <v>97</v>
      </c>
      <c r="G173" s="221" t="s">
        <v>180</v>
      </c>
      <c r="H173" s="211" t="str">
        <f t="shared" si="29"/>
        <v>REDOVNA DJELATNOST SVEUČILIŠTA U OSIJEKU (IZ EVIDENCIJSKIH PRIHODA)</v>
      </c>
      <c r="I173" s="216"/>
      <c r="J173" s="216"/>
      <c r="K173" s="216"/>
      <c r="M173" s="144" t="str">
        <f t="shared" si="25"/>
        <v>322</v>
      </c>
      <c r="N173" s="144" t="str">
        <f t="shared" si="26"/>
        <v>32</v>
      </c>
    </row>
    <row r="174" spans="1:14">
      <c r="A174" s="211" t="s">
        <v>46</v>
      </c>
      <c r="B174" s="211" t="s">
        <v>47</v>
      </c>
      <c r="C174" s="208">
        <v>52</v>
      </c>
      <c r="D174" s="212" t="s">
        <v>88</v>
      </c>
      <c r="E174" s="208">
        <v>3231</v>
      </c>
      <c r="F174" s="220" t="s">
        <v>108</v>
      </c>
      <c r="G174" s="221" t="s">
        <v>180</v>
      </c>
      <c r="H174" s="211" t="str">
        <f t="shared" si="29"/>
        <v>REDOVNA DJELATNOST SVEUČILIŠTA U OSIJEKU (IZ EVIDENCIJSKIH PRIHODA)</v>
      </c>
      <c r="I174" s="216"/>
      <c r="J174" s="216"/>
      <c r="K174" s="216"/>
      <c r="M174" s="144" t="str">
        <f t="shared" si="25"/>
        <v>323</v>
      </c>
      <c r="N174" s="144" t="str">
        <f t="shared" si="26"/>
        <v>32</v>
      </c>
    </row>
    <row r="175" spans="1:14">
      <c r="A175" s="211" t="s">
        <v>46</v>
      </c>
      <c r="B175" s="211" t="s">
        <v>47</v>
      </c>
      <c r="C175" s="208">
        <v>52</v>
      </c>
      <c r="D175" s="212" t="s">
        <v>88</v>
      </c>
      <c r="E175" s="208">
        <v>3232</v>
      </c>
      <c r="F175" s="220" t="s">
        <v>114</v>
      </c>
      <c r="G175" s="221" t="s">
        <v>180</v>
      </c>
      <c r="H175" s="211" t="str">
        <f t="shared" si="29"/>
        <v>REDOVNA DJELATNOST SVEUČILIŠTA U OSIJEKU (IZ EVIDENCIJSKIH PRIHODA)</v>
      </c>
      <c r="I175" s="216"/>
      <c r="J175" s="216"/>
      <c r="K175" s="216"/>
      <c r="M175" s="144" t="str">
        <f t="shared" si="25"/>
        <v>323</v>
      </c>
      <c r="N175" s="144" t="str">
        <f t="shared" si="26"/>
        <v>32</v>
      </c>
    </row>
    <row r="176" spans="1:14">
      <c r="A176" s="211" t="s">
        <v>46</v>
      </c>
      <c r="B176" s="211" t="s">
        <v>47</v>
      </c>
      <c r="C176" s="208">
        <v>52</v>
      </c>
      <c r="D176" s="212" t="s">
        <v>88</v>
      </c>
      <c r="E176" s="208">
        <v>3233</v>
      </c>
      <c r="F176" s="220" t="s">
        <v>118</v>
      </c>
      <c r="G176" s="221" t="s">
        <v>180</v>
      </c>
      <c r="H176" s="211" t="str">
        <f t="shared" si="29"/>
        <v>REDOVNA DJELATNOST SVEUČILIŠTA U OSIJEKU (IZ EVIDENCIJSKIH PRIHODA)</v>
      </c>
      <c r="I176" s="216"/>
      <c r="J176" s="216"/>
      <c r="K176" s="216"/>
      <c r="M176" s="144" t="str">
        <f t="shared" si="25"/>
        <v>323</v>
      </c>
      <c r="N176" s="144" t="str">
        <f t="shared" si="26"/>
        <v>32</v>
      </c>
    </row>
    <row r="177" spans="1:14">
      <c r="A177" s="211" t="s">
        <v>46</v>
      </c>
      <c r="B177" s="211" t="s">
        <v>47</v>
      </c>
      <c r="C177" s="208">
        <v>52</v>
      </c>
      <c r="D177" s="212" t="s">
        <v>88</v>
      </c>
      <c r="E177" s="208">
        <v>3234</v>
      </c>
      <c r="F177" s="220" t="s">
        <v>132</v>
      </c>
      <c r="G177" s="221" t="s">
        <v>180</v>
      </c>
      <c r="H177" s="211" t="str">
        <f t="shared" si="29"/>
        <v>REDOVNA DJELATNOST SVEUČILIŠTA U OSIJEKU (IZ EVIDENCIJSKIH PRIHODA)</v>
      </c>
      <c r="I177" s="216"/>
      <c r="J177" s="216"/>
      <c r="K177" s="216"/>
      <c r="M177" s="144" t="str">
        <f t="shared" si="25"/>
        <v>323</v>
      </c>
      <c r="N177" s="144" t="str">
        <f t="shared" si="26"/>
        <v>32</v>
      </c>
    </row>
    <row r="178" spans="1:14">
      <c r="A178" s="211" t="s">
        <v>46</v>
      </c>
      <c r="B178" s="211" t="s">
        <v>47</v>
      </c>
      <c r="C178" s="208">
        <v>52</v>
      </c>
      <c r="D178" s="212" t="s">
        <v>111</v>
      </c>
      <c r="E178" s="208">
        <v>3235</v>
      </c>
      <c r="F178" s="220" t="s">
        <v>49</v>
      </c>
      <c r="G178" s="221" t="s">
        <v>180</v>
      </c>
      <c r="H178" s="211" t="str">
        <f t="shared" si="29"/>
        <v>REDOVNA DJELATNOST SVEUČILIŠTA U OSIJEKU (IZ EVIDENCIJSKIH PRIHODA)</v>
      </c>
      <c r="I178" s="216"/>
      <c r="J178" s="216"/>
      <c r="K178" s="216"/>
      <c r="M178" s="144" t="str">
        <f t="shared" si="25"/>
        <v>323</v>
      </c>
      <c r="N178" s="144" t="str">
        <f t="shared" si="26"/>
        <v>32</v>
      </c>
    </row>
    <row r="179" spans="1:14">
      <c r="A179" s="211" t="s">
        <v>46</v>
      </c>
      <c r="B179" s="211" t="s">
        <v>47</v>
      </c>
      <c r="C179" s="208">
        <v>52</v>
      </c>
      <c r="D179" s="212" t="s">
        <v>111</v>
      </c>
      <c r="E179" s="208">
        <v>3237</v>
      </c>
      <c r="F179" s="220" t="s">
        <v>53</v>
      </c>
      <c r="G179" s="221" t="s">
        <v>180</v>
      </c>
      <c r="H179" s="211" t="str">
        <f t="shared" si="29"/>
        <v>REDOVNA DJELATNOST SVEUČILIŠTA U OSIJEKU (IZ EVIDENCIJSKIH PRIHODA)</v>
      </c>
      <c r="I179" s="216"/>
      <c r="J179" s="216"/>
      <c r="K179" s="216"/>
      <c r="M179" s="144" t="str">
        <f t="shared" si="25"/>
        <v>323</v>
      </c>
      <c r="N179" s="144" t="str">
        <f t="shared" si="26"/>
        <v>32</v>
      </c>
    </row>
    <row r="180" spans="1:14">
      <c r="A180" s="211" t="s">
        <v>46</v>
      </c>
      <c r="B180" s="211" t="s">
        <v>47</v>
      </c>
      <c r="C180" s="208">
        <v>52</v>
      </c>
      <c r="D180" s="212" t="s">
        <v>111</v>
      </c>
      <c r="E180" s="208">
        <v>3238</v>
      </c>
      <c r="F180" s="220" t="s">
        <v>80</v>
      </c>
      <c r="G180" s="221" t="s">
        <v>180</v>
      </c>
      <c r="H180" s="211" t="str">
        <f t="shared" si="29"/>
        <v>REDOVNA DJELATNOST SVEUČILIŠTA U OSIJEKU (IZ EVIDENCIJSKIH PRIHODA)</v>
      </c>
      <c r="I180" s="216"/>
      <c r="J180" s="216"/>
      <c r="K180" s="216"/>
      <c r="M180" s="144" t="str">
        <f t="shared" si="25"/>
        <v>323</v>
      </c>
      <c r="N180" s="144" t="str">
        <f t="shared" si="26"/>
        <v>32</v>
      </c>
    </row>
    <row r="181" spans="1:14">
      <c r="A181" s="211" t="s">
        <v>46</v>
      </c>
      <c r="B181" s="211" t="s">
        <v>47</v>
      </c>
      <c r="C181" s="208">
        <v>52</v>
      </c>
      <c r="D181" s="212" t="s">
        <v>111</v>
      </c>
      <c r="E181" s="208">
        <v>3239</v>
      </c>
      <c r="F181" s="220" t="s">
        <v>99</v>
      </c>
      <c r="G181" s="221" t="s">
        <v>180</v>
      </c>
      <c r="H181" s="211" t="str">
        <f t="shared" si="29"/>
        <v>REDOVNA DJELATNOST SVEUČILIŠTA U OSIJEKU (IZ EVIDENCIJSKIH PRIHODA)</v>
      </c>
      <c r="I181" s="216"/>
      <c r="J181" s="216"/>
      <c r="K181" s="216"/>
      <c r="M181" s="144" t="str">
        <f t="shared" si="25"/>
        <v>323</v>
      </c>
      <c r="N181" s="144" t="str">
        <f t="shared" si="26"/>
        <v>32</v>
      </c>
    </row>
    <row r="182" spans="1:14">
      <c r="A182" s="211" t="s">
        <v>46</v>
      </c>
      <c r="B182" s="211" t="s">
        <v>47</v>
      </c>
      <c r="C182" s="208">
        <v>52</v>
      </c>
      <c r="D182" s="212" t="s">
        <v>111</v>
      </c>
      <c r="E182" s="208">
        <v>3241</v>
      </c>
      <c r="F182" s="220" t="s">
        <v>81</v>
      </c>
      <c r="G182" s="221" t="s">
        <v>180</v>
      </c>
      <c r="H182" s="211" t="str">
        <f t="shared" si="29"/>
        <v>REDOVNA DJELATNOST SVEUČILIŠTA U OSIJEKU (IZ EVIDENCIJSKIH PRIHODA)</v>
      </c>
      <c r="I182" s="216">
        <v>12000</v>
      </c>
      <c r="J182" s="216">
        <v>12000</v>
      </c>
      <c r="K182" s="216">
        <v>12000</v>
      </c>
      <c r="M182" s="144" t="str">
        <f t="shared" si="25"/>
        <v>324</v>
      </c>
      <c r="N182" s="144" t="str">
        <f t="shared" si="26"/>
        <v>32</v>
      </c>
    </row>
    <row r="183" spans="1:14">
      <c r="A183" s="211" t="s">
        <v>46</v>
      </c>
      <c r="B183" s="211" t="s">
        <v>47</v>
      </c>
      <c r="C183" s="208">
        <v>52</v>
      </c>
      <c r="D183" s="212" t="s">
        <v>111</v>
      </c>
      <c r="E183" s="208">
        <v>3292</v>
      </c>
      <c r="F183" s="220" t="s">
        <v>102</v>
      </c>
      <c r="G183" s="221" t="s">
        <v>180</v>
      </c>
      <c r="H183" s="211" t="str">
        <f t="shared" si="29"/>
        <v>REDOVNA DJELATNOST SVEUČILIŠTA U OSIJEKU (IZ EVIDENCIJSKIH PRIHODA)</v>
      </c>
      <c r="I183" s="216"/>
      <c r="J183" s="216"/>
      <c r="K183" s="216"/>
      <c r="M183" s="144" t="str">
        <f t="shared" si="25"/>
        <v>329</v>
      </c>
      <c r="N183" s="144" t="str">
        <f t="shared" si="26"/>
        <v>32</v>
      </c>
    </row>
    <row r="184" spans="1:14">
      <c r="A184" s="211" t="s">
        <v>46</v>
      </c>
      <c r="B184" s="211" t="s">
        <v>47</v>
      </c>
      <c r="C184" s="208">
        <v>52</v>
      </c>
      <c r="D184" s="212" t="s">
        <v>111</v>
      </c>
      <c r="E184" s="208">
        <v>3293</v>
      </c>
      <c r="F184" s="220" t="s">
        <v>90</v>
      </c>
      <c r="G184" s="221" t="s">
        <v>180</v>
      </c>
      <c r="H184" s="211" t="str">
        <f t="shared" si="29"/>
        <v>REDOVNA DJELATNOST SVEUČILIŠTA U OSIJEKU (IZ EVIDENCIJSKIH PRIHODA)</v>
      </c>
      <c r="I184" s="216"/>
      <c r="J184" s="216"/>
      <c r="K184" s="216"/>
      <c r="M184" s="144" t="str">
        <f t="shared" si="25"/>
        <v>329</v>
      </c>
      <c r="N184" s="144" t="str">
        <f t="shared" si="26"/>
        <v>32</v>
      </c>
    </row>
    <row r="185" spans="1:14">
      <c r="A185" s="211" t="s">
        <v>46</v>
      </c>
      <c r="B185" s="211" t="s">
        <v>47</v>
      </c>
      <c r="C185" s="208">
        <v>52</v>
      </c>
      <c r="D185" s="212" t="s">
        <v>111</v>
      </c>
      <c r="E185" s="208">
        <v>3295</v>
      </c>
      <c r="F185" s="220" t="s">
        <v>79</v>
      </c>
      <c r="G185" s="221" t="s">
        <v>180</v>
      </c>
      <c r="H185" s="211" t="str">
        <f t="shared" si="29"/>
        <v>REDOVNA DJELATNOST SVEUČILIŠTA U OSIJEKU (IZ EVIDENCIJSKIH PRIHODA)</v>
      </c>
      <c r="I185" s="216"/>
      <c r="J185" s="216"/>
      <c r="K185" s="216"/>
      <c r="M185" s="144" t="str">
        <f t="shared" si="25"/>
        <v>329</v>
      </c>
      <c r="N185" s="144" t="str">
        <f t="shared" si="26"/>
        <v>32</v>
      </c>
    </row>
    <row r="186" spans="1:14">
      <c r="A186" s="211" t="s">
        <v>46</v>
      </c>
      <c r="B186" s="211" t="s">
        <v>47</v>
      </c>
      <c r="C186" s="208">
        <v>52</v>
      </c>
      <c r="D186" s="212" t="s">
        <v>111</v>
      </c>
      <c r="E186" s="208">
        <v>3299</v>
      </c>
      <c r="F186" s="220" t="s">
        <v>68</v>
      </c>
      <c r="G186" s="221" t="s">
        <v>180</v>
      </c>
      <c r="H186" s="211" t="str">
        <f t="shared" si="28"/>
        <v>REDOVNA DJELATNOST SVEUČILIŠTA U OSIJEKU (IZ EVIDENCIJSKIH PRIHODA)</v>
      </c>
      <c r="I186" s="216"/>
      <c r="J186" s="216"/>
      <c r="K186" s="216"/>
      <c r="M186" s="144" t="str">
        <f t="shared" si="25"/>
        <v>329</v>
      </c>
      <c r="N186" s="144" t="str">
        <f t="shared" si="26"/>
        <v>32</v>
      </c>
    </row>
    <row r="187" spans="1:14">
      <c r="A187" s="211" t="s">
        <v>46</v>
      </c>
      <c r="B187" s="211" t="s">
        <v>47</v>
      </c>
      <c r="C187" s="208">
        <v>52</v>
      </c>
      <c r="D187" s="212" t="s">
        <v>111</v>
      </c>
      <c r="E187" s="208">
        <v>3691</v>
      </c>
      <c r="F187" s="220" t="s">
        <v>105</v>
      </c>
      <c r="G187" s="221" t="s">
        <v>180</v>
      </c>
      <c r="H187" s="211" t="str">
        <f t="shared" si="28"/>
        <v>REDOVNA DJELATNOST SVEUČILIŠTA U OSIJEKU (IZ EVIDENCIJSKIH PRIHODA)</v>
      </c>
      <c r="I187" s="216">
        <v>1000000</v>
      </c>
      <c r="J187" s="216">
        <v>1000000</v>
      </c>
      <c r="K187" s="216">
        <v>1000000</v>
      </c>
      <c r="M187" s="144" t="str">
        <f t="shared" si="25"/>
        <v>369</v>
      </c>
      <c r="N187" s="144" t="str">
        <f t="shared" si="26"/>
        <v>36</v>
      </c>
    </row>
    <row r="188" spans="1:14">
      <c r="A188" s="211" t="s">
        <v>46</v>
      </c>
      <c r="B188" s="211" t="s">
        <v>47</v>
      </c>
      <c r="C188" s="208">
        <v>52</v>
      </c>
      <c r="D188" s="212" t="s">
        <v>111</v>
      </c>
      <c r="E188" s="208">
        <v>3721</v>
      </c>
      <c r="F188" s="220" t="s">
        <v>85</v>
      </c>
      <c r="G188" s="221" t="s">
        <v>180</v>
      </c>
      <c r="H188" s="211" t="str">
        <f t="shared" ref="H188:H205" si="30">IFERROR(VLOOKUP(G188,$X$6:$Y$50,2,FALSE),"")</f>
        <v>REDOVNA DJELATNOST SVEUČILIŠTA U OSIJEKU (IZ EVIDENCIJSKIH PRIHODA)</v>
      </c>
      <c r="I188" s="216"/>
      <c r="J188" s="216"/>
      <c r="K188" s="216"/>
      <c r="M188" s="144" t="str">
        <f t="shared" si="25"/>
        <v>372</v>
      </c>
      <c r="N188" s="144" t="str">
        <f t="shared" si="26"/>
        <v>37</v>
      </c>
    </row>
    <row r="189" spans="1:14">
      <c r="A189" s="211" t="s">
        <v>46</v>
      </c>
      <c r="B189" s="211" t="s">
        <v>47</v>
      </c>
      <c r="C189" s="208">
        <v>52</v>
      </c>
      <c r="D189" s="212" t="s">
        <v>111</v>
      </c>
      <c r="E189" s="208">
        <v>3722</v>
      </c>
      <c r="F189" s="220" t="s">
        <v>82</v>
      </c>
      <c r="G189" s="221" t="s">
        <v>180</v>
      </c>
      <c r="H189" s="211" t="str">
        <f t="shared" si="30"/>
        <v>REDOVNA DJELATNOST SVEUČILIŠTA U OSIJEKU (IZ EVIDENCIJSKIH PRIHODA)</v>
      </c>
      <c r="I189" s="216"/>
      <c r="J189" s="216"/>
      <c r="K189" s="216"/>
      <c r="M189" s="144" t="str">
        <f t="shared" si="25"/>
        <v>372</v>
      </c>
      <c r="N189" s="144" t="str">
        <f t="shared" si="26"/>
        <v>37</v>
      </c>
    </row>
    <row r="190" spans="1:14">
      <c r="A190" s="211" t="s">
        <v>46</v>
      </c>
      <c r="B190" s="211" t="s">
        <v>47</v>
      </c>
      <c r="C190" s="208">
        <v>52</v>
      </c>
      <c r="D190" s="212" t="s">
        <v>111</v>
      </c>
      <c r="E190" s="208">
        <v>4221</v>
      </c>
      <c r="F190" s="220" t="s">
        <v>86</v>
      </c>
      <c r="G190" s="221" t="s">
        <v>180</v>
      </c>
      <c r="H190" s="211" t="str">
        <f t="shared" si="30"/>
        <v>REDOVNA DJELATNOST SVEUČILIŠTA U OSIJEKU (IZ EVIDENCIJSKIH PRIHODA)</v>
      </c>
      <c r="I190" s="216"/>
      <c r="J190" s="216"/>
      <c r="K190" s="216"/>
      <c r="M190" s="144" t="str">
        <f t="shared" si="25"/>
        <v>422</v>
      </c>
      <c r="N190" s="144" t="str">
        <f t="shared" si="26"/>
        <v>42</v>
      </c>
    </row>
    <row r="191" spans="1:14">
      <c r="A191" s="211" t="s">
        <v>46</v>
      </c>
      <c r="B191" s="211" t="s">
        <v>47</v>
      </c>
      <c r="C191" s="208">
        <v>52</v>
      </c>
      <c r="D191" s="212" t="s">
        <v>111</v>
      </c>
      <c r="E191" s="208">
        <v>4224</v>
      </c>
      <c r="F191" s="220" t="s">
        <v>59</v>
      </c>
      <c r="G191" s="221" t="s">
        <v>180</v>
      </c>
      <c r="H191" s="211" t="str">
        <f t="shared" si="30"/>
        <v>REDOVNA DJELATNOST SVEUČILIŠTA U OSIJEKU (IZ EVIDENCIJSKIH PRIHODA)</v>
      </c>
      <c r="I191" s="216"/>
      <c r="J191" s="216"/>
      <c r="K191" s="216"/>
      <c r="M191" s="144" t="str">
        <f t="shared" si="25"/>
        <v>422</v>
      </c>
      <c r="N191" s="144" t="str">
        <f t="shared" si="26"/>
        <v>42</v>
      </c>
    </row>
    <row r="192" spans="1:14">
      <c r="A192" s="211" t="s">
        <v>46</v>
      </c>
      <c r="B192" s="211" t="s">
        <v>47</v>
      </c>
      <c r="C192" s="208">
        <v>52</v>
      </c>
      <c r="D192" s="212" t="s">
        <v>111</v>
      </c>
      <c r="E192" s="208">
        <v>4241</v>
      </c>
      <c r="F192" s="220" t="s">
        <v>106</v>
      </c>
      <c r="G192" s="221" t="s">
        <v>180</v>
      </c>
      <c r="H192" s="211" t="str">
        <f t="shared" si="30"/>
        <v>REDOVNA DJELATNOST SVEUČILIŠTA U OSIJEKU (IZ EVIDENCIJSKIH PRIHODA)</v>
      </c>
      <c r="I192" s="216"/>
      <c r="J192" s="216"/>
      <c r="K192" s="216"/>
      <c r="M192" s="144" t="str">
        <f t="shared" si="25"/>
        <v>424</v>
      </c>
      <c r="N192" s="144" t="str">
        <f t="shared" si="26"/>
        <v>42</v>
      </c>
    </row>
    <row r="193" spans="1:14">
      <c r="A193" s="211" t="s">
        <v>46</v>
      </c>
      <c r="B193" s="211" t="s">
        <v>47</v>
      </c>
      <c r="C193" s="208">
        <v>52</v>
      </c>
      <c r="D193" s="212" t="s">
        <v>111</v>
      </c>
      <c r="E193" s="208">
        <v>4262</v>
      </c>
      <c r="F193" s="220" t="s">
        <v>107</v>
      </c>
      <c r="G193" s="221" t="s">
        <v>180</v>
      </c>
      <c r="H193" s="211" t="str">
        <f t="shared" si="30"/>
        <v>REDOVNA DJELATNOST SVEUČILIŠTA U OSIJEKU (IZ EVIDENCIJSKIH PRIHODA)</v>
      </c>
      <c r="I193" s="216"/>
      <c r="J193" s="216"/>
      <c r="K193" s="216"/>
      <c r="M193" s="144" t="str">
        <f t="shared" si="25"/>
        <v>426</v>
      </c>
      <c r="N193" s="144" t="str">
        <f t="shared" si="26"/>
        <v>42</v>
      </c>
    </row>
    <row r="194" spans="1:14">
      <c r="A194" s="211" t="s">
        <v>46</v>
      </c>
      <c r="B194" s="211" t="s">
        <v>47</v>
      </c>
      <c r="C194" s="208">
        <v>52</v>
      </c>
      <c r="D194" s="212" t="s">
        <v>111</v>
      </c>
      <c r="E194" s="208">
        <v>4511</v>
      </c>
      <c r="F194" s="220" t="s">
        <v>114</v>
      </c>
      <c r="G194" s="221" t="s">
        <v>180</v>
      </c>
      <c r="H194" s="211" t="str">
        <f t="shared" si="30"/>
        <v>REDOVNA DJELATNOST SVEUČILIŠTA U OSIJEKU (IZ EVIDENCIJSKIH PRIHODA)</v>
      </c>
      <c r="I194" s="216"/>
      <c r="J194" s="216"/>
      <c r="K194" s="216"/>
      <c r="M194" s="144" t="str">
        <f t="shared" si="25"/>
        <v>451</v>
      </c>
      <c r="N194" s="144" t="str">
        <f t="shared" si="26"/>
        <v>45</v>
      </c>
    </row>
    <row r="195" spans="1:14">
      <c r="A195" s="211" t="s">
        <v>46</v>
      </c>
      <c r="B195" s="211" t="s">
        <v>47</v>
      </c>
      <c r="C195" s="208">
        <v>61</v>
      </c>
      <c r="D195" s="212" t="s">
        <v>111</v>
      </c>
      <c r="E195" s="208">
        <v>3111</v>
      </c>
      <c r="F195" s="220" t="s">
        <v>118</v>
      </c>
      <c r="G195" s="221" t="s">
        <v>180</v>
      </c>
      <c r="H195" s="211" t="str">
        <f t="shared" si="30"/>
        <v>REDOVNA DJELATNOST SVEUČILIŠTA U OSIJEKU (IZ EVIDENCIJSKIH PRIHODA)</v>
      </c>
      <c r="I195" s="216">
        <v>89382</v>
      </c>
      <c r="J195" s="216">
        <v>91259</v>
      </c>
      <c r="K195" s="216">
        <v>91989</v>
      </c>
      <c r="M195" s="144" t="str">
        <f t="shared" si="25"/>
        <v>311</v>
      </c>
      <c r="N195" s="144" t="str">
        <f t="shared" si="26"/>
        <v>31</v>
      </c>
    </row>
    <row r="196" spans="1:14">
      <c r="A196" s="211" t="s">
        <v>46</v>
      </c>
      <c r="B196" s="211" t="s">
        <v>47</v>
      </c>
      <c r="C196" s="208">
        <v>61</v>
      </c>
      <c r="D196" s="212" t="s">
        <v>111</v>
      </c>
      <c r="E196" s="208">
        <v>3121</v>
      </c>
      <c r="F196" s="220" t="s">
        <v>49</v>
      </c>
      <c r="G196" s="221" t="s">
        <v>180</v>
      </c>
      <c r="H196" s="211" t="str">
        <f t="shared" si="30"/>
        <v>REDOVNA DJELATNOST SVEUČILIŠTA U OSIJEKU (IZ EVIDENCIJSKIH PRIHODA)</v>
      </c>
      <c r="I196" s="216"/>
      <c r="J196" s="216"/>
      <c r="K196" s="216"/>
      <c r="M196" s="144" t="str">
        <f t="shared" ref="M196:M259" si="31">LEFT(E196,3)</f>
        <v>312</v>
      </c>
      <c r="N196" s="144" t="str">
        <f t="shared" ref="N196:N259" si="32">LEFT(E196,2)</f>
        <v>31</v>
      </c>
    </row>
    <row r="197" spans="1:14">
      <c r="A197" s="211" t="s">
        <v>46</v>
      </c>
      <c r="B197" s="211" t="s">
        <v>47</v>
      </c>
      <c r="C197" s="208">
        <v>61</v>
      </c>
      <c r="D197" s="212" t="s">
        <v>111</v>
      </c>
      <c r="E197" s="208">
        <v>3132</v>
      </c>
      <c r="F197" s="220" t="s">
        <v>52</v>
      </c>
      <c r="G197" s="221" t="s">
        <v>180</v>
      </c>
      <c r="H197" s="211" t="str">
        <f t="shared" si="30"/>
        <v>REDOVNA DJELATNOST SVEUČILIŠTA U OSIJEKU (IZ EVIDENCIJSKIH PRIHODA)</v>
      </c>
      <c r="I197" s="216"/>
      <c r="J197" s="216"/>
      <c r="K197" s="216"/>
      <c r="M197" s="144" t="str">
        <f t="shared" si="31"/>
        <v>313</v>
      </c>
      <c r="N197" s="144" t="str">
        <f t="shared" si="32"/>
        <v>31</v>
      </c>
    </row>
    <row r="198" spans="1:14">
      <c r="A198" s="211" t="s">
        <v>46</v>
      </c>
      <c r="B198" s="211" t="s">
        <v>47</v>
      </c>
      <c r="C198" s="208">
        <v>61</v>
      </c>
      <c r="D198" s="212" t="s">
        <v>111</v>
      </c>
      <c r="E198" s="208">
        <v>3211</v>
      </c>
      <c r="F198" s="220" t="s">
        <v>53</v>
      </c>
      <c r="G198" s="221" t="s">
        <v>180</v>
      </c>
      <c r="H198" s="211" t="str">
        <f t="shared" si="30"/>
        <v>REDOVNA DJELATNOST SVEUČILIŠTA U OSIJEKU (IZ EVIDENCIJSKIH PRIHODA)</v>
      </c>
      <c r="I198" s="216">
        <v>59740</v>
      </c>
      <c r="J198" s="216">
        <v>60995</v>
      </c>
      <c r="K198" s="216">
        <v>61482</v>
      </c>
      <c r="M198" s="144" t="str">
        <f t="shared" si="31"/>
        <v>321</v>
      </c>
      <c r="N198" s="144" t="str">
        <f t="shared" si="32"/>
        <v>32</v>
      </c>
    </row>
    <row r="199" spans="1:14">
      <c r="A199" s="211" t="s">
        <v>46</v>
      </c>
      <c r="B199" s="211" t="s">
        <v>47</v>
      </c>
      <c r="C199" s="208">
        <v>61</v>
      </c>
      <c r="D199" s="212" t="s">
        <v>111</v>
      </c>
      <c r="E199" s="208">
        <v>3212</v>
      </c>
      <c r="F199" s="220" t="s">
        <v>80</v>
      </c>
      <c r="G199" s="221" t="s">
        <v>180</v>
      </c>
      <c r="H199" s="211" t="str">
        <f t="shared" si="30"/>
        <v>REDOVNA DJELATNOST SVEUČILIŠTA U OSIJEKU (IZ EVIDENCIJSKIH PRIHODA)</v>
      </c>
      <c r="I199" s="216"/>
      <c r="J199" s="216"/>
      <c r="K199" s="216"/>
      <c r="M199" s="144" t="str">
        <f t="shared" si="31"/>
        <v>321</v>
      </c>
      <c r="N199" s="144" t="str">
        <f t="shared" si="32"/>
        <v>32</v>
      </c>
    </row>
    <row r="200" spans="1:14">
      <c r="A200" s="211" t="s">
        <v>46</v>
      </c>
      <c r="B200" s="211" t="s">
        <v>47</v>
      </c>
      <c r="C200" s="208">
        <v>61</v>
      </c>
      <c r="D200" s="212" t="s">
        <v>111</v>
      </c>
      <c r="E200" s="208">
        <v>3213</v>
      </c>
      <c r="F200" s="220" t="s">
        <v>54</v>
      </c>
      <c r="G200" s="221" t="s">
        <v>180</v>
      </c>
      <c r="H200" s="211" t="str">
        <f t="shared" si="30"/>
        <v>REDOVNA DJELATNOST SVEUČILIŠTA U OSIJEKU (IZ EVIDENCIJSKIH PRIHODA)</v>
      </c>
      <c r="I200" s="216">
        <v>3300</v>
      </c>
      <c r="J200" s="216">
        <v>3369</v>
      </c>
      <c r="K200" s="216">
        <v>3396</v>
      </c>
      <c r="M200" s="144" t="str">
        <f t="shared" si="31"/>
        <v>321</v>
      </c>
      <c r="N200" s="144" t="str">
        <f t="shared" si="32"/>
        <v>32</v>
      </c>
    </row>
    <row r="201" spans="1:14">
      <c r="A201" s="211" t="s">
        <v>46</v>
      </c>
      <c r="B201" s="211" t="s">
        <v>47</v>
      </c>
      <c r="C201" s="208">
        <v>61</v>
      </c>
      <c r="D201" s="212" t="s">
        <v>111</v>
      </c>
      <c r="E201" s="208">
        <v>3221</v>
      </c>
      <c r="F201" s="220" t="s">
        <v>99</v>
      </c>
      <c r="G201" s="221" t="s">
        <v>180</v>
      </c>
      <c r="H201" s="211" t="str">
        <f t="shared" si="30"/>
        <v>REDOVNA DJELATNOST SVEUČILIŠTA U OSIJEKU (IZ EVIDENCIJSKIH PRIHODA)</v>
      </c>
      <c r="I201" s="216">
        <v>50000</v>
      </c>
      <c r="J201" s="216">
        <v>51050</v>
      </c>
      <c r="K201" s="216">
        <v>51458</v>
      </c>
      <c r="M201" s="144" t="str">
        <f t="shared" si="31"/>
        <v>322</v>
      </c>
      <c r="N201" s="144" t="str">
        <f t="shared" si="32"/>
        <v>32</v>
      </c>
    </row>
    <row r="202" spans="1:14">
      <c r="A202" s="211" t="s">
        <v>46</v>
      </c>
      <c r="B202" s="211" t="s">
        <v>47</v>
      </c>
      <c r="C202" s="208">
        <v>61</v>
      </c>
      <c r="D202" s="212" t="s">
        <v>111</v>
      </c>
      <c r="E202" s="208">
        <v>3222</v>
      </c>
      <c r="F202" s="220" t="s">
        <v>81</v>
      </c>
      <c r="G202" s="221" t="s">
        <v>180</v>
      </c>
      <c r="H202" s="211" t="str">
        <f t="shared" si="30"/>
        <v>REDOVNA DJELATNOST SVEUČILIŠTA U OSIJEKU (IZ EVIDENCIJSKIH PRIHODA)</v>
      </c>
      <c r="I202" s="216"/>
      <c r="J202" s="216"/>
      <c r="K202" s="216"/>
      <c r="M202" s="144" t="str">
        <f t="shared" si="31"/>
        <v>322</v>
      </c>
      <c r="N202" s="144" t="str">
        <f t="shared" si="32"/>
        <v>32</v>
      </c>
    </row>
    <row r="203" spans="1:14">
      <c r="A203" s="211" t="s">
        <v>46</v>
      </c>
      <c r="B203" s="211" t="s">
        <v>47</v>
      </c>
      <c r="C203" s="208">
        <v>61</v>
      </c>
      <c r="D203" s="212" t="s">
        <v>111</v>
      </c>
      <c r="E203" s="208">
        <v>3225</v>
      </c>
      <c r="F203" s="220" t="s">
        <v>90</v>
      </c>
      <c r="G203" s="221" t="s">
        <v>180</v>
      </c>
      <c r="H203" s="211" t="str">
        <f t="shared" si="30"/>
        <v>REDOVNA DJELATNOST SVEUČILIŠTA U OSIJEKU (IZ EVIDENCIJSKIH PRIHODA)</v>
      </c>
      <c r="I203" s="216"/>
      <c r="J203" s="216"/>
      <c r="K203" s="216"/>
      <c r="M203" s="144" t="str">
        <f t="shared" si="31"/>
        <v>322</v>
      </c>
      <c r="N203" s="144" t="str">
        <f t="shared" si="32"/>
        <v>32</v>
      </c>
    </row>
    <row r="204" spans="1:14">
      <c r="A204" s="211" t="s">
        <v>46</v>
      </c>
      <c r="B204" s="211" t="s">
        <v>47</v>
      </c>
      <c r="C204" s="208">
        <v>61</v>
      </c>
      <c r="D204" s="212" t="s">
        <v>111</v>
      </c>
      <c r="E204" s="208">
        <v>3231</v>
      </c>
      <c r="F204" s="220" t="s">
        <v>95</v>
      </c>
      <c r="G204" s="221" t="s">
        <v>180</v>
      </c>
      <c r="H204" s="211" t="str">
        <f t="shared" si="30"/>
        <v>REDOVNA DJELATNOST SVEUČILIŠTA U OSIJEKU (IZ EVIDENCIJSKIH PRIHODA)</v>
      </c>
      <c r="I204" s="216"/>
      <c r="J204" s="216"/>
      <c r="K204" s="216"/>
      <c r="M204" s="144" t="str">
        <f t="shared" si="31"/>
        <v>323</v>
      </c>
      <c r="N204" s="144" t="str">
        <f t="shared" si="32"/>
        <v>32</v>
      </c>
    </row>
    <row r="205" spans="1:14">
      <c r="A205" s="211" t="s">
        <v>46</v>
      </c>
      <c r="B205" s="211" t="s">
        <v>47</v>
      </c>
      <c r="C205" s="208">
        <v>61</v>
      </c>
      <c r="D205" s="212" t="s">
        <v>111</v>
      </c>
      <c r="E205" s="208">
        <v>3232</v>
      </c>
      <c r="F205" s="220" t="s">
        <v>104</v>
      </c>
      <c r="G205" s="221" t="s">
        <v>180</v>
      </c>
      <c r="H205" s="211" t="str">
        <f t="shared" si="30"/>
        <v>REDOVNA DJELATNOST SVEUČILIŠTA U OSIJEKU (IZ EVIDENCIJSKIH PRIHODA)</v>
      </c>
      <c r="I205" s="216"/>
      <c r="J205" s="216"/>
      <c r="K205" s="216"/>
      <c r="M205" s="144" t="str">
        <f t="shared" si="31"/>
        <v>323</v>
      </c>
      <c r="N205" s="144" t="str">
        <f t="shared" si="32"/>
        <v>32</v>
      </c>
    </row>
    <row r="206" spans="1:14">
      <c r="A206" s="211" t="s">
        <v>46</v>
      </c>
      <c r="B206" s="211" t="s">
        <v>47</v>
      </c>
      <c r="C206" s="208">
        <v>61</v>
      </c>
      <c r="D206" s="212" t="s">
        <v>111</v>
      </c>
      <c r="E206" s="208">
        <v>3233</v>
      </c>
      <c r="F206" s="220" t="s">
        <v>91</v>
      </c>
      <c r="G206" s="221" t="s">
        <v>180</v>
      </c>
      <c r="H206" s="211" t="str">
        <f t="shared" ref="H206:H241" si="33">IFERROR(VLOOKUP(G206,$X$6:$Y$50,2,FALSE),"")</f>
        <v>REDOVNA DJELATNOST SVEUČILIŠTA U OSIJEKU (IZ EVIDENCIJSKIH PRIHODA)</v>
      </c>
      <c r="I206" s="216"/>
      <c r="J206" s="216"/>
      <c r="K206" s="216"/>
      <c r="M206" s="144" t="str">
        <f t="shared" si="31"/>
        <v>323</v>
      </c>
      <c r="N206" s="144" t="str">
        <f t="shared" si="32"/>
        <v>32</v>
      </c>
    </row>
    <row r="207" spans="1:14">
      <c r="A207" s="211" t="s">
        <v>46</v>
      </c>
      <c r="B207" s="211" t="s">
        <v>47</v>
      </c>
      <c r="C207" s="208">
        <v>61</v>
      </c>
      <c r="D207" s="212" t="s">
        <v>111</v>
      </c>
      <c r="E207" s="208">
        <v>3237</v>
      </c>
      <c r="F207" s="220" t="s">
        <v>79</v>
      </c>
      <c r="G207" s="221" t="s">
        <v>180</v>
      </c>
      <c r="H207" s="211" t="str">
        <f t="shared" ref="H207:H236" si="34">IFERROR(VLOOKUP(G207,$X$6:$Y$50,2,FALSE),"")</f>
        <v>REDOVNA DJELATNOST SVEUČILIŠTA U OSIJEKU (IZ EVIDENCIJSKIH PRIHODA)</v>
      </c>
      <c r="I207" s="216"/>
      <c r="J207" s="216"/>
      <c r="K207" s="216"/>
      <c r="M207" s="144" t="str">
        <f t="shared" si="31"/>
        <v>323</v>
      </c>
      <c r="N207" s="144" t="str">
        <f t="shared" si="32"/>
        <v>32</v>
      </c>
    </row>
    <row r="208" spans="1:14">
      <c r="A208" s="211" t="s">
        <v>46</v>
      </c>
      <c r="B208" s="211" t="s">
        <v>47</v>
      </c>
      <c r="C208" s="208">
        <v>61</v>
      </c>
      <c r="D208" s="212" t="s">
        <v>111</v>
      </c>
      <c r="E208" s="208">
        <v>3238</v>
      </c>
      <c r="F208" s="220" t="s">
        <v>92</v>
      </c>
      <c r="G208" s="221" t="s">
        <v>180</v>
      </c>
      <c r="H208" s="211" t="str">
        <f t="shared" si="34"/>
        <v>REDOVNA DJELATNOST SVEUČILIŠTA U OSIJEKU (IZ EVIDENCIJSKIH PRIHODA)</v>
      </c>
      <c r="I208" s="216"/>
      <c r="J208" s="216"/>
      <c r="K208" s="216"/>
      <c r="M208" s="144" t="str">
        <f t="shared" si="31"/>
        <v>323</v>
      </c>
      <c r="N208" s="144" t="str">
        <f t="shared" si="32"/>
        <v>32</v>
      </c>
    </row>
    <row r="209" spans="1:14">
      <c r="A209" s="211" t="s">
        <v>46</v>
      </c>
      <c r="B209" s="211" t="s">
        <v>47</v>
      </c>
      <c r="C209" s="208">
        <v>61</v>
      </c>
      <c r="D209" s="212" t="s">
        <v>111</v>
      </c>
      <c r="E209" s="208">
        <v>3239</v>
      </c>
      <c r="F209" s="220" t="s">
        <v>112</v>
      </c>
      <c r="G209" s="221" t="s">
        <v>180</v>
      </c>
      <c r="H209" s="211" t="str">
        <f t="shared" si="34"/>
        <v>REDOVNA DJELATNOST SVEUČILIŠTA U OSIJEKU (IZ EVIDENCIJSKIH PRIHODA)</v>
      </c>
      <c r="I209" s="216"/>
      <c r="J209" s="216"/>
      <c r="K209" s="216"/>
      <c r="M209" s="144" t="str">
        <f t="shared" si="31"/>
        <v>323</v>
      </c>
      <c r="N209" s="144" t="str">
        <f t="shared" si="32"/>
        <v>32</v>
      </c>
    </row>
    <row r="210" spans="1:14">
      <c r="A210" s="211" t="s">
        <v>46</v>
      </c>
      <c r="B210" s="211" t="s">
        <v>47</v>
      </c>
      <c r="C210" s="208">
        <v>61</v>
      </c>
      <c r="D210" s="212" t="s">
        <v>111</v>
      </c>
      <c r="E210" s="208">
        <v>3241</v>
      </c>
      <c r="F210" s="220" t="s">
        <v>68</v>
      </c>
      <c r="G210" s="221" t="s">
        <v>180</v>
      </c>
      <c r="H210" s="211" t="str">
        <f t="shared" si="34"/>
        <v>REDOVNA DJELATNOST SVEUČILIŠTA U OSIJEKU (IZ EVIDENCIJSKIH PRIHODA)</v>
      </c>
      <c r="I210" s="216"/>
      <c r="J210" s="216"/>
      <c r="K210" s="216"/>
      <c r="M210" s="144" t="str">
        <f t="shared" si="31"/>
        <v>324</v>
      </c>
      <c r="N210" s="144" t="str">
        <f t="shared" si="32"/>
        <v>32</v>
      </c>
    </row>
    <row r="211" spans="1:14">
      <c r="A211" s="211" t="s">
        <v>46</v>
      </c>
      <c r="B211" s="211" t="s">
        <v>47</v>
      </c>
      <c r="C211" s="208">
        <v>61</v>
      </c>
      <c r="D211" s="212" t="s">
        <v>111</v>
      </c>
      <c r="E211" s="208">
        <v>3293</v>
      </c>
      <c r="F211" s="220" t="s">
        <v>105</v>
      </c>
      <c r="G211" s="221" t="s">
        <v>180</v>
      </c>
      <c r="H211" s="211" t="str">
        <f t="shared" si="34"/>
        <v>REDOVNA DJELATNOST SVEUČILIŠTA U OSIJEKU (IZ EVIDENCIJSKIH PRIHODA)</v>
      </c>
      <c r="I211" s="216"/>
      <c r="J211" s="216"/>
      <c r="K211" s="216"/>
      <c r="M211" s="144" t="str">
        <f t="shared" si="31"/>
        <v>329</v>
      </c>
      <c r="N211" s="144" t="str">
        <f t="shared" si="32"/>
        <v>32</v>
      </c>
    </row>
    <row r="212" spans="1:14">
      <c r="A212" s="211" t="s">
        <v>46</v>
      </c>
      <c r="B212" s="211" t="s">
        <v>47</v>
      </c>
      <c r="C212" s="208">
        <v>61</v>
      </c>
      <c r="D212" s="212" t="s">
        <v>111</v>
      </c>
      <c r="E212" s="208">
        <v>3299</v>
      </c>
      <c r="F212" s="220" t="s">
        <v>85</v>
      </c>
      <c r="G212" s="221" t="s">
        <v>180</v>
      </c>
      <c r="H212" s="211" t="str">
        <f t="shared" si="34"/>
        <v>REDOVNA DJELATNOST SVEUČILIŠTA U OSIJEKU (IZ EVIDENCIJSKIH PRIHODA)</v>
      </c>
      <c r="I212" s="216">
        <v>15389</v>
      </c>
      <c r="J212" s="216">
        <v>15712</v>
      </c>
      <c r="K212" s="216">
        <v>15838</v>
      </c>
      <c r="M212" s="144" t="str">
        <f t="shared" si="31"/>
        <v>329</v>
      </c>
      <c r="N212" s="144" t="str">
        <f t="shared" si="32"/>
        <v>32</v>
      </c>
    </row>
    <row r="213" spans="1:14">
      <c r="A213" s="211" t="s">
        <v>46</v>
      </c>
      <c r="B213" s="211" t="s">
        <v>47</v>
      </c>
      <c r="C213" s="208">
        <v>61</v>
      </c>
      <c r="D213" s="212" t="s">
        <v>111</v>
      </c>
      <c r="E213" s="208">
        <v>3431</v>
      </c>
      <c r="F213" s="220" t="s">
        <v>82</v>
      </c>
      <c r="G213" s="221" t="s">
        <v>180</v>
      </c>
      <c r="H213" s="211" t="str">
        <f t="shared" si="34"/>
        <v>REDOVNA DJELATNOST SVEUČILIŠTA U OSIJEKU (IZ EVIDENCIJSKIH PRIHODA)</v>
      </c>
      <c r="I213" s="216"/>
      <c r="J213" s="216"/>
      <c r="K213" s="216"/>
      <c r="M213" s="144" t="str">
        <f t="shared" si="31"/>
        <v>343</v>
      </c>
      <c r="N213" s="144" t="str">
        <f t="shared" si="32"/>
        <v>34</v>
      </c>
    </row>
    <row r="214" spans="1:14">
      <c r="A214" s="211" t="s">
        <v>46</v>
      </c>
      <c r="B214" s="211" t="s">
        <v>47</v>
      </c>
      <c r="C214" s="208">
        <v>61</v>
      </c>
      <c r="D214" s="212" t="s">
        <v>111</v>
      </c>
      <c r="E214" s="208">
        <v>3432</v>
      </c>
      <c r="F214" s="220" t="s">
        <v>76</v>
      </c>
      <c r="G214" s="221" t="s">
        <v>180</v>
      </c>
      <c r="H214" s="211" t="str">
        <f t="shared" si="34"/>
        <v>REDOVNA DJELATNOST SVEUČILIŠTA U OSIJEKU (IZ EVIDENCIJSKIH PRIHODA)</v>
      </c>
      <c r="I214" s="216"/>
      <c r="J214" s="216"/>
      <c r="K214" s="216"/>
      <c r="M214" s="144" t="str">
        <f t="shared" si="31"/>
        <v>343</v>
      </c>
      <c r="N214" s="144" t="str">
        <f t="shared" si="32"/>
        <v>34</v>
      </c>
    </row>
    <row r="215" spans="1:14">
      <c r="A215" s="211" t="s">
        <v>46</v>
      </c>
      <c r="B215" s="211" t="s">
        <v>47</v>
      </c>
      <c r="C215" s="208">
        <v>61</v>
      </c>
      <c r="D215" s="212" t="s">
        <v>111</v>
      </c>
      <c r="E215" s="208">
        <v>3721</v>
      </c>
      <c r="F215" s="220" t="s">
        <v>86</v>
      </c>
      <c r="G215" s="221" t="s">
        <v>180</v>
      </c>
      <c r="H215" s="211" t="str">
        <f t="shared" si="34"/>
        <v>REDOVNA DJELATNOST SVEUČILIŠTA U OSIJEKU (IZ EVIDENCIJSKIH PRIHODA)</v>
      </c>
      <c r="I215" s="216"/>
      <c r="J215" s="216"/>
      <c r="K215" s="216"/>
      <c r="M215" s="144" t="str">
        <f t="shared" si="31"/>
        <v>372</v>
      </c>
      <c r="N215" s="144" t="str">
        <f t="shared" si="32"/>
        <v>37</v>
      </c>
    </row>
    <row r="216" spans="1:14">
      <c r="A216" s="211" t="s">
        <v>46</v>
      </c>
      <c r="B216" s="211" t="s">
        <v>47</v>
      </c>
      <c r="C216" s="208">
        <v>61</v>
      </c>
      <c r="D216" s="212" t="s">
        <v>111</v>
      </c>
      <c r="E216" s="208">
        <v>4221</v>
      </c>
      <c r="F216" s="220" t="s">
        <v>56</v>
      </c>
      <c r="G216" s="221" t="s">
        <v>180</v>
      </c>
      <c r="H216" s="211" t="str">
        <f t="shared" si="34"/>
        <v>REDOVNA DJELATNOST SVEUČILIŠTA U OSIJEKU (IZ EVIDENCIJSKIH PRIHODA)</v>
      </c>
      <c r="I216" s="216"/>
      <c r="J216" s="216"/>
      <c r="K216" s="216"/>
      <c r="M216" s="144" t="str">
        <f t="shared" si="31"/>
        <v>422</v>
      </c>
      <c r="N216" s="144" t="str">
        <f t="shared" si="32"/>
        <v>42</v>
      </c>
    </row>
    <row r="217" spans="1:14">
      <c r="A217" s="211" t="s">
        <v>46</v>
      </c>
      <c r="B217" s="211" t="s">
        <v>47</v>
      </c>
      <c r="C217" s="208">
        <v>61</v>
      </c>
      <c r="D217" s="212" t="s">
        <v>111</v>
      </c>
      <c r="E217" s="208">
        <v>4224</v>
      </c>
      <c r="F217" s="220" t="s">
        <v>59</v>
      </c>
      <c r="G217" s="221" t="s">
        <v>180</v>
      </c>
      <c r="H217" s="211" t="str">
        <f t="shared" si="34"/>
        <v>REDOVNA DJELATNOST SVEUČILIŠTA U OSIJEKU (IZ EVIDENCIJSKIH PRIHODA)</v>
      </c>
      <c r="I217" s="216">
        <v>559000</v>
      </c>
      <c r="J217" s="216">
        <v>570739</v>
      </c>
      <c r="K217" s="216">
        <v>575305</v>
      </c>
      <c r="M217" s="144" t="str">
        <f t="shared" si="31"/>
        <v>422</v>
      </c>
      <c r="N217" s="144" t="str">
        <f t="shared" si="32"/>
        <v>42</v>
      </c>
    </row>
    <row r="218" spans="1:14">
      <c r="A218" s="211" t="s">
        <v>46</v>
      </c>
      <c r="B218" s="211" t="s">
        <v>47</v>
      </c>
      <c r="C218" s="208">
        <v>61</v>
      </c>
      <c r="D218" s="212" t="s">
        <v>111</v>
      </c>
      <c r="E218" s="208">
        <v>4225</v>
      </c>
      <c r="F218" s="220" t="s">
        <v>106</v>
      </c>
      <c r="G218" s="221" t="s">
        <v>180</v>
      </c>
      <c r="H218" s="211" t="str">
        <f t="shared" si="34"/>
        <v>REDOVNA DJELATNOST SVEUČILIŠTA U OSIJEKU (IZ EVIDENCIJSKIH PRIHODA)</v>
      </c>
      <c r="I218" s="216"/>
      <c r="J218" s="216"/>
      <c r="K218" s="216"/>
      <c r="M218" s="144" t="str">
        <f t="shared" si="31"/>
        <v>422</v>
      </c>
      <c r="N218" s="144" t="str">
        <f t="shared" si="32"/>
        <v>42</v>
      </c>
    </row>
    <row r="219" spans="1:14">
      <c r="A219" s="211" t="s">
        <v>46</v>
      </c>
      <c r="B219" s="211" t="s">
        <v>47</v>
      </c>
      <c r="C219" s="208">
        <v>61</v>
      </c>
      <c r="D219" s="212" t="s">
        <v>111</v>
      </c>
      <c r="E219" s="208">
        <v>4241</v>
      </c>
      <c r="F219" s="220" t="s">
        <v>67</v>
      </c>
      <c r="G219" s="221" t="s">
        <v>180</v>
      </c>
      <c r="H219" s="211" t="str">
        <f t="shared" si="34"/>
        <v>REDOVNA DJELATNOST SVEUČILIŠTA U OSIJEKU (IZ EVIDENCIJSKIH PRIHODA)</v>
      </c>
      <c r="I219" s="216"/>
      <c r="J219" s="216"/>
      <c r="K219" s="216"/>
      <c r="M219" s="144" t="str">
        <f t="shared" si="31"/>
        <v>424</v>
      </c>
      <c r="N219" s="144" t="str">
        <f t="shared" si="32"/>
        <v>42</v>
      </c>
    </row>
    <row r="220" spans="1:14">
      <c r="A220" s="211" t="s">
        <v>46</v>
      </c>
      <c r="B220" s="211" t="s">
        <v>47</v>
      </c>
      <c r="C220" s="208">
        <v>61</v>
      </c>
      <c r="D220" s="212" t="s">
        <v>111</v>
      </c>
      <c r="E220" s="208">
        <v>4262</v>
      </c>
      <c r="F220" s="220" t="s">
        <v>153</v>
      </c>
      <c r="G220" s="221" t="s">
        <v>180</v>
      </c>
      <c r="H220" s="211" t="str">
        <f t="shared" si="34"/>
        <v>REDOVNA DJELATNOST SVEUČILIŠTA U OSIJEKU (IZ EVIDENCIJSKIH PRIHODA)</v>
      </c>
      <c r="I220" s="216">
        <v>14062</v>
      </c>
      <c r="J220" s="216">
        <v>14358</v>
      </c>
      <c r="K220" s="216">
        <v>14473</v>
      </c>
      <c r="M220" s="144" t="str">
        <f t="shared" si="31"/>
        <v>426</v>
      </c>
      <c r="N220" s="144" t="str">
        <f t="shared" si="32"/>
        <v>42</v>
      </c>
    </row>
    <row r="221" spans="1:14">
      <c r="A221" s="211" t="s">
        <v>46</v>
      </c>
      <c r="B221" s="211" t="s">
        <v>47</v>
      </c>
      <c r="C221" s="208">
        <v>12</v>
      </c>
      <c r="D221" s="212" t="s">
        <v>111</v>
      </c>
      <c r="E221" s="208">
        <v>3111</v>
      </c>
      <c r="F221" s="220" t="s">
        <v>97</v>
      </c>
      <c r="G221" s="221" t="s">
        <v>270</v>
      </c>
      <c r="H221" s="211" t="str">
        <f t="shared" si="34"/>
        <v>OP KONKURENTNOST I KOHEZIJA 2014.-2020., PRIORITET 1 i 10</v>
      </c>
      <c r="I221" s="216">
        <v>54077</v>
      </c>
      <c r="J221" s="216">
        <v>54077</v>
      </c>
      <c r="K221" s="216">
        <v>27039</v>
      </c>
      <c r="M221" s="144" t="str">
        <f t="shared" si="31"/>
        <v>311</v>
      </c>
      <c r="N221" s="144" t="str">
        <f t="shared" si="32"/>
        <v>31</v>
      </c>
    </row>
    <row r="222" spans="1:14">
      <c r="A222" s="211" t="s">
        <v>46</v>
      </c>
      <c r="B222" s="211" t="s">
        <v>47</v>
      </c>
      <c r="C222" s="208">
        <v>12</v>
      </c>
      <c r="D222" s="212" t="s">
        <v>111</v>
      </c>
      <c r="E222" s="208">
        <v>3211</v>
      </c>
      <c r="F222" s="220" t="s">
        <v>114</v>
      </c>
      <c r="G222" s="221" t="s">
        <v>270</v>
      </c>
      <c r="H222" s="211" t="str">
        <f t="shared" si="34"/>
        <v>OP KONKURENTNOST I KOHEZIJA 2014.-2020., PRIORITET 1 i 10</v>
      </c>
      <c r="I222" s="216"/>
      <c r="J222" s="216"/>
      <c r="K222" s="216"/>
      <c r="M222" s="144" t="str">
        <f t="shared" si="31"/>
        <v>321</v>
      </c>
      <c r="N222" s="144" t="str">
        <f t="shared" si="32"/>
        <v>32</v>
      </c>
    </row>
    <row r="223" spans="1:14">
      <c r="A223" s="211" t="s">
        <v>46</v>
      </c>
      <c r="B223" s="211" t="s">
        <v>47</v>
      </c>
      <c r="C223" s="208">
        <v>12</v>
      </c>
      <c r="D223" s="212" t="s">
        <v>111</v>
      </c>
      <c r="E223" s="208">
        <v>3132</v>
      </c>
      <c r="F223" s="220" t="s">
        <v>109</v>
      </c>
      <c r="G223" s="221" t="s">
        <v>270</v>
      </c>
      <c r="H223" s="211" t="str">
        <f t="shared" si="34"/>
        <v>OP KONKURENTNOST I KOHEZIJA 2014.-2020., PRIORITET 1 i 10</v>
      </c>
      <c r="I223" s="216">
        <v>8923</v>
      </c>
      <c r="J223" s="216">
        <v>8923</v>
      </c>
      <c r="K223" s="216">
        <v>4461</v>
      </c>
      <c r="M223" s="144" t="str">
        <f t="shared" si="31"/>
        <v>313</v>
      </c>
      <c r="N223" s="144" t="str">
        <f t="shared" si="32"/>
        <v>31</v>
      </c>
    </row>
    <row r="224" spans="1:14">
      <c r="A224" s="211" t="s">
        <v>46</v>
      </c>
      <c r="B224" s="211" t="s">
        <v>47</v>
      </c>
      <c r="C224" s="208">
        <v>12</v>
      </c>
      <c r="D224" s="212" t="s">
        <v>111</v>
      </c>
      <c r="E224" s="208">
        <v>3213</v>
      </c>
      <c r="F224" s="220" t="s">
        <v>110</v>
      </c>
      <c r="G224" s="221" t="s">
        <v>270</v>
      </c>
      <c r="H224" s="211" t="str">
        <f t="shared" si="34"/>
        <v>OP KONKURENTNOST I KOHEZIJA 2014.-2020., PRIORITET 1 i 10</v>
      </c>
      <c r="I224" s="216">
        <v>75000</v>
      </c>
      <c r="J224" s="216">
        <v>75000</v>
      </c>
      <c r="K224" s="216">
        <v>15000</v>
      </c>
      <c r="M224" s="144" t="str">
        <f t="shared" si="31"/>
        <v>321</v>
      </c>
      <c r="N224" s="144" t="str">
        <f t="shared" si="32"/>
        <v>32</v>
      </c>
    </row>
    <row r="225" spans="1:14">
      <c r="A225" s="211" t="s">
        <v>46</v>
      </c>
      <c r="B225" s="211" t="s">
        <v>47</v>
      </c>
      <c r="C225" s="208">
        <v>12</v>
      </c>
      <c r="D225" s="212" t="s">
        <v>111</v>
      </c>
      <c r="E225" s="208">
        <v>3221</v>
      </c>
      <c r="F225" s="220" t="s">
        <v>123</v>
      </c>
      <c r="G225" s="221" t="s">
        <v>270</v>
      </c>
      <c r="H225" s="211" t="str">
        <f t="shared" si="34"/>
        <v>OP KONKURENTNOST I KOHEZIJA 2014.-2020., PRIORITET 1 i 10</v>
      </c>
      <c r="I225" s="216">
        <v>150000</v>
      </c>
      <c r="J225" s="216">
        <v>150000</v>
      </c>
      <c r="K225" s="216">
        <v>75000</v>
      </c>
      <c r="M225" s="144" t="str">
        <f t="shared" si="31"/>
        <v>322</v>
      </c>
      <c r="N225" s="144" t="str">
        <f t="shared" si="32"/>
        <v>32</v>
      </c>
    </row>
    <row r="226" spans="1:14">
      <c r="A226" s="211" t="s">
        <v>46</v>
      </c>
      <c r="B226" s="211" t="s">
        <v>47</v>
      </c>
      <c r="C226" s="208">
        <v>12</v>
      </c>
      <c r="D226" s="212" t="s">
        <v>117</v>
      </c>
      <c r="E226" s="208">
        <v>3223</v>
      </c>
      <c r="F226" s="220" t="s">
        <v>49</v>
      </c>
      <c r="G226" s="221" t="s">
        <v>270</v>
      </c>
      <c r="H226" s="211" t="str">
        <f t="shared" si="34"/>
        <v>OP KONKURENTNOST I KOHEZIJA 2014.-2020., PRIORITET 1 i 10</v>
      </c>
      <c r="I226" s="216"/>
      <c r="J226" s="216"/>
      <c r="K226" s="216"/>
      <c r="M226" s="144" t="str">
        <f t="shared" si="31"/>
        <v>322</v>
      </c>
      <c r="N226" s="144" t="str">
        <f t="shared" si="32"/>
        <v>32</v>
      </c>
    </row>
    <row r="227" spans="1:14">
      <c r="A227" s="211" t="s">
        <v>46</v>
      </c>
      <c r="B227" s="211" t="s">
        <v>47</v>
      </c>
      <c r="C227" s="208">
        <v>12</v>
      </c>
      <c r="D227" s="212" t="s">
        <v>117</v>
      </c>
      <c r="E227" s="208">
        <v>3233</v>
      </c>
      <c r="F227" s="220" t="s">
        <v>53</v>
      </c>
      <c r="G227" s="221" t="s">
        <v>270</v>
      </c>
      <c r="H227" s="211" t="str">
        <f t="shared" si="34"/>
        <v>OP KONKURENTNOST I KOHEZIJA 2014.-2020., PRIORITET 1 i 10</v>
      </c>
      <c r="I227" s="216">
        <v>41512</v>
      </c>
      <c r="J227" s="216">
        <v>8700</v>
      </c>
      <c r="K227" s="216">
        <v>8700</v>
      </c>
      <c r="M227" s="144" t="str">
        <f t="shared" si="31"/>
        <v>323</v>
      </c>
      <c r="N227" s="144" t="str">
        <f t="shared" si="32"/>
        <v>32</v>
      </c>
    </row>
    <row r="228" spans="1:14">
      <c r="A228" s="211" t="s">
        <v>46</v>
      </c>
      <c r="B228" s="211" t="s">
        <v>47</v>
      </c>
      <c r="C228" s="208">
        <v>12</v>
      </c>
      <c r="D228" s="212" t="s">
        <v>117</v>
      </c>
      <c r="E228" s="208">
        <v>3237</v>
      </c>
      <c r="F228" s="220" t="s">
        <v>49</v>
      </c>
      <c r="G228" s="221" t="s">
        <v>270</v>
      </c>
      <c r="H228" s="211" t="str">
        <f t="shared" si="34"/>
        <v>OP KONKURENTNOST I KOHEZIJA 2014.-2020., PRIORITET 1 i 10</v>
      </c>
      <c r="I228" s="216">
        <v>81509</v>
      </c>
      <c r="J228" s="216">
        <v>61554</v>
      </c>
      <c r="K228" s="216">
        <v>69054</v>
      </c>
      <c r="M228" s="144" t="str">
        <f t="shared" si="31"/>
        <v>323</v>
      </c>
      <c r="N228" s="144" t="str">
        <f t="shared" si="32"/>
        <v>32</v>
      </c>
    </row>
    <row r="229" spans="1:14">
      <c r="A229" s="211" t="s">
        <v>46</v>
      </c>
      <c r="B229" s="211" t="s">
        <v>47</v>
      </c>
      <c r="C229" s="208">
        <v>12</v>
      </c>
      <c r="D229" s="212" t="s">
        <v>117</v>
      </c>
      <c r="E229" s="208">
        <v>3238</v>
      </c>
      <c r="F229" s="220" t="s">
        <v>52</v>
      </c>
      <c r="G229" s="221" t="s">
        <v>270</v>
      </c>
      <c r="H229" s="211" t="str">
        <f t="shared" si="34"/>
        <v>OP KONKURENTNOST I KOHEZIJA 2014.-2020., PRIORITET 1 i 10</v>
      </c>
      <c r="I229" s="216">
        <v>1564</v>
      </c>
      <c r="J229" s="216">
        <v>1564</v>
      </c>
      <c r="K229" s="216">
        <v>996</v>
      </c>
      <c r="M229" s="144" t="str">
        <f t="shared" si="31"/>
        <v>323</v>
      </c>
      <c r="N229" s="144" t="str">
        <f t="shared" si="32"/>
        <v>32</v>
      </c>
    </row>
    <row r="230" spans="1:14">
      <c r="A230" s="211" t="s">
        <v>46</v>
      </c>
      <c r="B230" s="211" t="s">
        <v>47</v>
      </c>
      <c r="C230" s="208">
        <v>12</v>
      </c>
      <c r="D230" s="212" t="s">
        <v>117</v>
      </c>
      <c r="E230" s="208">
        <v>3293</v>
      </c>
      <c r="F230" s="220" t="s">
        <v>53</v>
      </c>
      <c r="G230" s="221" t="s">
        <v>270</v>
      </c>
      <c r="H230" s="211" t="str">
        <f t="shared" si="34"/>
        <v>OP KONKURENTNOST I KOHEZIJA 2014.-2020., PRIORITET 1 i 10</v>
      </c>
      <c r="I230" s="216"/>
      <c r="J230" s="216"/>
      <c r="K230" s="216"/>
      <c r="M230" s="144" t="str">
        <f t="shared" si="31"/>
        <v>329</v>
      </c>
      <c r="N230" s="144" t="str">
        <f t="shared" si="32"/>
        <v>32</v>
      </c>
    </row>
    <row r="231" spans="1:14">
      <c r="A231" s="211" t="s">
        <v>46</v>
      </c>
      <c r="B231" s="211" t="s">
        <v>47</v>
      </c>
      <c r="C231" s="208">
        <v>12</v>
      </c>
      <c r="D231" s="212" t="s">
        <v>117</v>
      </c>
      <c r="E231" s="208">
        <v>3693</v>
      </c>
      <c r="F231" s="220" t="s">
        <v>80</v>
      </c>
      <c r="G231" s="221" t="s">
        <v>270</v>
      </c>
      <c r="H231" s="211" t="str">
        <f t="shared" si="34"/>
        <v>OP KONKURENTNOST I KOHEZIJA 2014.-2020., PRIORITET 1 i 10</v>
      </c>
      <c r="I231" s="216">
        <v>774384</v>
      </c>
      <c r="J231" s="216">
        <v>683395</v>
      </c>
      <c r="K231" s="216">
        <v>842270</v>
      </c>
      <c r="M231" s="144" t="str">
        <f t="shared" si="31"/>
        <v>369</v>
      </c>
      <c r="N231" s="144" t="str">
        <f t="shared" si="32"/>
        <v>36</v>
      </c>
    </row>
    <row r="232" spans="1:14">
      <c r="A232" s="211" t="s">
        <v>46</v>
      </c>
      <c r="B232" s="211" t="s">
        <v>47</v>
      </c>
      <c r="C232" s="208">
        <v>12</v>
      </c>
      <c r="D232" s="212" t="s">
        <v>117</v>
      </c>
      <c r="E232" s="208">
        <v>4224</v>
      </c>
      <c r="F232" s="220" t="s">
        <v>54</v>
      </c>
      <c r="G232" s="221" t="s">
        <v>270</v>
      </c>
      <c r="H232" s="211" t="str">
        <f t="shared" si="34"/>
        <v>OP KONKURENTNOST I KOHEZIJA 2014.-2020., PRIORITET 1 i 10</v>
      </c>
      <c r="I232" s="216">
        <v>750000</v>
      </c>
      <c r="J232" s="216">
        <v>150000</v>
      </c>
      <c r="K232" s="216">
        <v>225000</v>
      </c>
      <c r="M232" s="144" t="str">
        <f t="shared" si="31"/>
        <v>422</v>
      </c>
      <c r="N232" s="144" t="str">
        <f t="shared" si="32"/>
        <v>42</v>
      </c>
    </row>
    <row r="233" spans="1:14">
      <c r="A233" s="211" t="s">
        <v>46</v>
      </c>
      <c r="B233" s="211" t="s">
        <v>47</v>
      </c>
      <c r="C233" s="208">
        <v>12</v>
      </c>
      <c r="D233" s="212" t="s">
        <v>117</v>
      </c>
      <c r="E233" s="208">
        <v>4212</v>
      </c>
      <c r="F233" s="220" t="s">
        <v>99</v>
      </c>
      <c r="G233" s="221" t="s">
        <v>270</v>
      </c>
      <c r="H233" s="211" t="str">
        <f t="shared" si="34"/>
        <v>OP KONKURENTNOST I KOHEZIJA 2014.-2020., PRIORITET 1 i 10</v>
      </c>
      <c r="I233" s="216">
        <v>18659339</v>
      </c>
      <c r="J233" s="216"/>
      <c r="K233" s="216"/>
      <c r="M233" s="144" t="str">
        <f t="shared" si="31"/>
        <v>421</v>
      </c>
      <c r="N233" s="144" t="str">
        <f t="shared" si="32"/>
        <v>42</v>
      </c>
    </row>
    <row r="234" spans="1:14">
      <c r="A234" s="211" t="s">
        <v>46</v>
      </c>
      <c r="B234" s="211" t="s">
        <v>47</v>
      </c>
      <c r="C234" s="208">
        <v>12</v>
      </c>
      <c r="D234" s="212" t="s">
        <v>117</v>
      </c>
      <c r="E234" s="208">
        <v>4221</v>
      </c>
      <c r="F234" s="220" t="s">
        <v>81</v>
      </c>
      <c r="G234" s="221" t="s">
        <v>270</v>
      </c>
      <c r="H234" s="211" t="str">
        <f t="shared" si="34"/>
        <v>OP KONKURENTNOST I KOHEZIJA 2014.-2020., PRIORITET 1 i 10</v>
      </c>
      <c r="I234" s="216">
        <v>2404605</v>
      </c>
      <c r="J234" s="216"/>
      <c r="K234" s="216"/>
      <c r="M234" s="144" t="str">
        <f t="shared" si="31"/>
        <v>422</v>
      </c>
      <c r="N234" s="144" t="str">
        <f t="shared" si="32"/>
        <v>42</v>
      </c>
    </row>
    <row r="235" spans="1:14">
      <c r="A235" s="211" t="s">
        <v>46</v>
      </c>
      <c r="B235" s="211" t="s">
        <v>47</v>
      </c>
      <c r="C235" s="208">
        <v>563</v>
      </c>
      <c r="D235" s="212" t="s">
        <v>117</v>
      </c>
      <c r="E235" s="208">
        <v>3111</v>
      </c>
      <c r="F235" s="220" t="s">
        <v>102</v>
      </c>
      <c r="G235" s="221" t="s">
        <v>270</v>
      </c>
      <c r="H235" s="211" t="str">
        <f t="shared" si="34"/>
        <v>OP KONKURENTNOST I KOHEZIJA 2014.-2020., PRIORITET 1 i 10</v>
      </c>
      <c r="I235" s="216">
        <v>306438</v>
      </c>
      <c r="J235" s="216">
        <v>306438</v>
      </c>
      <c r="K235" s="216">
        <v>153221</v>
      </c>
      <c r="M235" s="144" t="str">
        <f t="shared" si="31"/>
        <v>311</v>
      </c>
      <c r="N235" s="144" t="str">
        <f t="shared" si="32"/>
        <v>31</v>
      </c>
    </row>
    <row r="236" spans="1:14">
      <c r="A236" s="211" t="s">
        <v>46</v>
      </c>
      <c r="B236" s="211" t="s">
        <v>47</v>
      </c>
      <c r="C236" s="208">
        <v>563</v>
      </c>
      <c r="D236" s="212" t="s">
        <v>117</v>
      </c>
      <c r="E236" s="208">
        <v>3132</v>
      </c>
      <c r="F236" s="220" t="s">
        <v>103</v>
      </c>
      <c r="G236" s="221" t="s">
        <v>270</v>
      </c>
      <c r="H236" s="211" t="str">
        <f t="shared" si="34"/>
        <v>OP KONKURENTNOST I KOHEZIJA 2014.-2020., PRIORITET 1 i 10</v>
      </c>
      <c r="I236" s="216">
        <v>50562</v>
      </c>
      <c r="J236" s="216">
        <v>50562</v>
      </c>
      <c r="K236" s="216">
        <v>25279</v>
      </c>
      <c r="M236" s="144" t="str">
        <f t="shared" si="31"/>
        <v>313</v>
      </c>
      <c r="N236" s="144" t="str">
        <f t="shared" si="32"/>
        <v>31</v>
      </c>
    </row>
    <row r="237" spans="1:14">
      <c r="A237" s="211" t="s">
        <v>46</v>
      </c>
      <c r="B237" s="211" t="s">
        <v>47</v>
      </c>
      <c r="C237" s="208">
        <v>563</v>
      </c>
      <c r="D237" s="212" t="s">
        <v>117</v>
      </c>
      <c r="E237" s="208">
        <v>3211</v>
      </c>
      <c r="F237" s="220" t="s">
        <v>104</v>
      </c>
      <c r="G237" s="221" t="s">
        <v>270</v>
      </c>
      <c r="H237" s="211" t="str">
        <f t="shared" si="33"/>
        <v>OP KONKURENTNOST I KOHEZIJA 2014.-2020., PRIORITET 1 i 10</v>
      </c>
      <c r="I237" s="216"/>
      <c r="J237" s="216"/>
      <c r="K237" s="216"/>
      <c r="M237" s="144" t="str">
        <f t="shared" si="31"/>
        <v>321</v>
      </c>
      <c r="N237" s="144" t="str">
        <f t="shared" si="32"/>
        <v>32</v>
      </c>
    </row>
    <row r="238" spans="1:14">
      <c r="A238" s="211" t="s">
        <v>46</v>
      </c>
      <c r="B238" s="211" t="s">
        <v>47</v>
      </c>
      <c r="C238" s="208">
        <v>563</v>
      </c>
      <c r="D238" s="212" t="s">
        <v>117</v>
      </c>
      <c r="E238" s="208">
        <v>3213</v>
      </c>
      <c r="F238" s="220" t="s">
        <v>91</v>
      </c>
      <c r="G238" s="221" t="s">
        <v>270</v>
      </c>
      <c r="H238" s="211" t="str">
        <f t="shared" si="33"/>
        <v>OP KONKURENTNOST I KOHEZIJA 2014.-2020., PRIORITET 1 i 10</v>
      </c>
      <c r="I238" s="216">
        <v>425000</v>
      </c>
      <c r="J238" s="216">
        <v>425000</v>
      </c>
      <c r="K238" s="216">
        <v>85000</v>
      </c>
      <c r="M238" s="144" t="str">
        <f t="shared" si="31"/>
        <v>321</v>
      </c>
      <c r="N238" s="144" t="str">
        <f t="shared" si="32"/>
        <v>32</v>
      </c>
    </row>
    <row r="239" spans="1:14">
      <c r="A239" s="211" t="s">
        <v>46</v>
      </c>
      <c r="B239" s="211" t="s">
        <v>47</v>
      </c>
      <c r="C239" s="208">
        <v>563</v>
      </c>
      <c r="D239" s="212" t="s">
        <v>117</v>
      </c>
      <c r="E239" s="208">
        <v>3221</v>
      </c>
      <c r="F239" s="220" t="s">
        <v>79</v>
      </c>
      <c r="G239" s="221" t="s">
        <v>270</v>
      </c>
      <c r="H239" s="211" t="str">
        <f>IFERROR(VLOOKUP(G239,$X$6:$Y$50,2,FALSE),"")</f>
        <v>OP KONKURENTNOST I KOHEZIJA 2014.-2020., PRIORITET 1 i 10</v>
      </c>
      <c r="I239" s="216">
        <v>850000</v>
      </c>
      <c r="J239" s="216">
        <v>850000</v>
      </c>
      <c r="K239" s="216">
        <v>425000</v>
      </c>
      <c r="M239" s="144" t="str">
        <f t="shared" si="31"/>
        <v>322</v>
      </c>
      <c r="N239" s="144" t="str">
        <f t="shared" si="32"/>
        <v>32</v>
      </c>
    </row>
    <row r="240" spans="1:14">
      <c r="A240" s="211" t="s">
        <v>46</v>
      </c>
      <c r="B240" s="211" t="s">
        <v>47</v>
      </c>
      <c r="C240" s="208">
        <v>563</v>
      </c>
      <c r="D240" s="212" t="s">
        <v>117</v>
      </c>
      <c r="E240" s="208">
        <v>3223</v>
      </c>
      <c r="F240" s="220" t="s">
        <v>68</v>
      </c>
      <c r="G240" s="221" t="s">
        <v>270</v>
      </c>
      <c r="H240" s="211" t="str">
        <f>IFERROR(VLOOKUP(G240,$X$6:$Y$50,2,FALSE),"")</f>
        <v>OP KONKURENTNOST I KOHEZIJA 2014.-2020., PRIORITET 1 i 10</v>
      </c>
      <c r="I240" s="216"/>
      <c r="J240" s="216"/>
      <c r="K240" s="216"/>
      <c r="M240" s="144" t="str">
        <f t="shared" si="31"/>
        <v>322</v>
      </c>
      <c r="N240" s="144" t="str">
        <f t="shared" si="32"/>
        <v>32</v>
      </c>
    </row>
    <row r="241" spans="1:14">
      <c r="A241" s="211" t="s">
        <v>46</v>
      </c>
      <c r="B241" s="211" t="s">
        <v>47</v>
      </c>
      <c r="C241" s="208">
        <v>563</v>
      </c>
      <c r="D241" s="212" t="s">
        <v>117</v>
      </c>
      <c r="E241" s="208">
        <v>3233</v>
      </c>
      <c r="F241" s="220" t="s">
        <v>105</v>
      </c>
      <c r="G241" s="221" t="s">
        <v>270</v>
      </c>
      <c r="H241" s="211" t="str">
        <f t="shared" si="33"/>
        <v>OP KONKURENTNOST I KOHEZIJA 2014.-2020., PRIORITET 1 i 10</v>
      </c>
      <c r="I241" s="216">
        <v>235238</v>
      </c>
      <c r="J241" s="216">
        <v>49300</v>
      </c>
      <c r="K241" s="216">
        <v>49300</v>
      </c>
      <c r="M241" s="144" t="str">
        <f t="shared" si="31"/>
        <v>323</v>
      </c>
      <c r="N241" s="144" t="str">
        <f t="shared" si="32"/>
        <v>32</v>
      </c>
    </row>
    <row r="242" spans="1:14">
      <c r="A242" s="211" t="s">
        <v>46</v>
      </c>
      <c r="B242" s="211" t="s">
        <v>47</v>
      </c>
      <c r="C242" s="208">
        <v>563</v>
      </c>
      <c r="D242" s="212" t="s">
        <v>117</v>
      </c>
      <c r="E242" s="208">
        <v>3237</v>
      </c>
      <c r="F242" s="220" t="s">
        <v>85</v>
      </c>
      <c r="G242" s="221" t="s">
        <v>270</v>
      </c>
      <c r="H242" s="211" t="str">
        <f t="shared" ref="H242:H267" si="35">IFERROR(VLOOKUP(G242,$X$6:$Y$50,2,FALSE),"")</f>
        <v>OP KONKURENTNOST I KOHEZIJA 2014.-2020., PRIORITET 1 i 10</v>
      </c>
      <c r="I242" s="216">
        <v>461882</v>
      </c>
      <c r="J242" s="216">
        <v>348806</v>
      </c>
      <c r="K242" s="216">
        <v>391306</v>
      </c>
      <c r="M242" s="144" t="str">
        <f t="shared" si="31"/>
        <v>323</v>
      </c>
      <c r="N242" s="144" t="str">
        <f t="shared" si="32"/>
        <v>32</v>
      </c>
    </row>
    <row r="243" spans="1:14">
      <c r="A243" s="211" t="s">
        <v>46</v>
      </c>
      <c r="B243" s="211" t="s">
        <v>47</v>
      </c>
      <c r="C243" s="208">
        <v>563</v>
      </c>
      <c r="D243" s="212" t="s">
        <v>117</v>
      </c>
      <c r="E243" s="208">
        <v>3238</v>
      </c>
      <c r="F243" s="220" t="s">
        <v>82</v>
      </c>
      <c r="G243" s="221" t="s">
        <v>270</v>
      </c>
      <c r="H243" s="211" t="str">
        <f t="shared" si="35"/>
        <v>OP KONKURENTNOST I KOHEZIJA 2014.-2020., PRIORITET 1 i 10</v>
      </c>
      <c r="I243" s="216">
        <v>8861</v>
      </c>
      <c r="J243" s="216">
        <v>8861</v>
      </c>
      <c r="K243" s="216">
        <v>5644</v>
      </c>
      <c r="M243" s="144" t="str">
        <f t="shared" si="31"/>
        <v>323</v>
      </c>
      <c r="N243" s="144" t="str">
        <f t="shared" si="32"/>
        <v>32</v>
      </c>
    </row>
    <row r="244" spans="1:14">
      <c r="A244" s="211" t="s">
        <v>46</v>
      </c>
      <c r="B244" s="211" t="s">
        <v>47</v>
      </c>
      <c r="C244" s="208">
        <v>563</v>
      </c>
      <c r="D244" s="212" t="s">
        <v>117</v>
      </c>
      <c r="E244" s="208">
        <v>3293</v>
      </c>
      <c r="F244" s="220" t="s">
        <v>86</v>
      </c>
      <c r="G244" s="221" t="s">
        <v>270</v>
      </c>
      <c r="H244" s="211" t="str">
        <f t="shared" si="35"/>
        <v>OP KONKURENTNOST I KOHEZIJA 2014.-2020., PRIORITET 1 i 10</v>
      </c>
      <c r="I244" s="216">
        <v>0</v>
      </c>
      <c r="J244" s="216"/>
      <c r="K244" s="216"/>
      <c r="M244" s="144" t="str">
        <f t="shared" si="31"/>
        <v>329</v>
      </c>
      <c r="N244" s="144" t="str">
        <f t="shared" si="32"/>
        <v>32</v>
      </c>
    </row>
    <row r="245" spans="1:14">
      <c r="A245" s="211" t="s">
        <v>46</v>
      </c>
      <c r="B245" s="211" t="s">
        <v>47</v>
      </c>
      <c r="C245" s="208">
        <v>563</v>
      </c>
      <c r="D245" s="212" t="s">
        <v>117</v>
      </c>
      <c r="E245" s="208">
        <v>3693</v>
      </c>
      <c r="F245" s="220" t="s">
        <v>59</v>
      </c>
      <c r="G245" s="221" t="s">
        <v>270</v>
      </c>
      <c r="H245" s="211" t="str">
        <f t="shared" si="35"/>
        <v>OP KONKURENTNOST I KOHEZIJA 2014.-2020., PRIORITET 1 i 10</v>
      </c>
      <c r="I245" s="216">
        <v>4388175</v>
      </c>
      <c r="J245" s="216">
        <v>3872571</v>
      </c>
      <c r="K245" s="216">
        <v>4772868</v>
      </c>
      <c r="M245" s="144" t="str">
        <f t="shared" si="31"/>
        <v>369</v>
      </c>
      <c r="N245" s="144" t="str">
        <f t="shared" si="32"/>
        <v>36</v>
      </c>
    </row>
    <row r="246" spans="1:14">
      <c r="A246" s="211" t="s">
        <v>46</v>
      </c>
      <c r="B246" s="211" t="s">
        <v>47</v>
      </c>
      <c r="C246" s="208">
        <v>563</v>
      </c>
      <c r="D246" s="212" t="s">
        <v>117</v>
      </c>
      <c r="E246" s="208">
        <v>4212</v>
      </c>
      <c r="F246" s="220" t="s">
        <v>84</v>
      </c>
      <c r="G246" s="221" t="s">
        <v>270</v>
      </c>
      <c r="H246" s="211" t="str">
        <f t="shared" si="35"/>
        <v>OP KONKURENTNOST I KOHEZIJA 2014.-2020., PRIORITET 1 i 10</v>
      </c>
      <c r="I246" s="216">
        <v>51237418</v>
      </c>
      <c r="J246" s="216"/>
      <c r="K246" s="216"/>
      <c r="M246" s="144" t="str">
        <f t="shared" si="31"/>
        <v>421</v>
      </c>
      <c r="N246" s="144" t="str">
        <f t="shared" si="32"/>
        <v>42</v>
      </c>
    </row>
    <row r="247" spans="1:14">
      <c r="A247" s="211" t="s">
        <v>46</v>
      </c>
      <c r="B247" s="211" t="s">
        <v>47</v>
      </c>
      <c r="C247" s="208">
        <v>563</v>
      </c>
      <c r="D247" s="212" t="s">
        <v>117</v>
      </c>
      <c r="E247" s="208">
        <v>4221</v>
      </c>
      <c r="F247" s="220" t="s">
        <v>100</v>
      </c>
      <c r="G247" s="221" t="s">
        <v>270</v>
      </c>
      <c r="H247" s="211" t="str">
        <f t="shared" si="35"/>
        <v>OP KONKURENTNOST I KOHEZIJA 2014.-2020., PRIORITET 1 i 10</v>
      </c>
      <c r="I247" s="216">
        <v>13626095</v>
      </c>
      <c r="J247" s="216"/>
      <c r="K247" s="216"/>
      <c r="M247" s="144" t="str">
        <f t="shared" si="31"/>
        <v>422</v>
      </c>
      <c r="N247" s="144" t="str">
        <f t="shared" si="32"/>
        <v>42</v>
      </c>
    </row>
    <row r="248" spans="1:14">
      <c r="A248" s="211" t="s">
        <v>46</v>
      </c>
      <c r="B248" s="211" t="s">
        <v>47</v>
      </c>
      <c r="C248" s="208">
        <v>563</v>
      </c>
      <c r="D248" s="212" t="s">
        <v>117</v>
      </c>
      <c r="E248" s="208">
        <v>4224</v>
      </c>
      <c r="F248" s="220" t="s">
        <v>67</v>
      </c>
      <c r="G248" s="221" t="s">
        <v>270</v>
      </c>
      <c r="H248" s="211" t="str">
        <f t="shared" si="35"/>
        <v>OP KONKURENTNOST I KOHEZIJA 2014.-2020., PRIORITET 1 i 10</v>
      </c>
      <c r="I248" s="216">
        <v>4250000</v>
      </c>
      <c r="J248" s="216">
        <v>850000</v>
      </c>
      <c r="K248" s="216">
        <v>1275000</v>
      </c>
      <c r="M248" s="144" t="str">
        <f t="shared" si="31"/>
        <v>422</v>
      </c>
      <c r="N248" s="144" t="str">
        <f t="shared" si="32"/>
        <v>42</v>
      </c>
    </row>
    <row r="249" spans="1:14">
      <c r="A249" s="211"/>
      <c r="B249" s="211"/>
      <c r="C249" s="208"/>
      <c r="D249" s="212"/>
      <c r="E249" s="208"/>
      <c r="F249" s="220"/>
      <c r="G249" s="221"/>
      <c r="H249" s="211" t="str">
        <f t="shared" si="35"/>
        <v/>
      </c>
      <c r="I249" s="216"/>
      <c r="J249" s="216"/>
      <c r="K249" s="216"/>
      <c r="M249" s="144" t="str">
        <f t="shared" si="31"/>
        <v/>
      </c>
      <c r="N249" s="144" t="str">
        <f t="shared" si="32"/>
        <v/>
      </c>
    </row>
    <row r="250" spans="1:14">
      <c r="A250" s="211"/>
      <c r="B250" s="211"/>
      <c r="C250" s="208"/>
      <c r="D250" s="212"/>
      <c r="E250" s="208"/>
      <c r="F250" s="220"/>
      <c r="G250" s="221"/>
      <c r="H250" s="211" t="str">
        <f t="shared" si="35"/>
        <v/>
      </c>
      <c r="I250" s="216"/>
      <c r="J250" s="216"/>
      <c r="K250" s="216"/>
      <c r="M250" s="144" t="str">
        <f t="shared" si="31"/>
        <v/>
      </c>
      <c r="N250" s="144" t="str">
        <f t="shared" si="32"/>
        <v/>
      </c>
    </row>
    <row r="251" spans="1:14">
      <c r="A251" s="211"/>
      <c r="B251" s="211"/>
      <c r="C251" s="208"/>
      <c r="D251" s="212"/>
      <c r="E251" s="208"/>
      <c r="F251" s="220"/>
      <c r="G251" s="221"/>
      <c r="H251" s="211" t="str">
        <f t="shared" si="35"/>
        <v/>
      </c>
      <c r="I251" s="216"/>
      <c r="J251" s="216"/>
      <c r="K251" s="216"/>
      <c r="M251" s="144" t="str">
        <f t="shared" si="31"/>
        <v/>
      </c>
      <c r="N251" s="144" t="str">
        <f t="shared" si="32"/>
        <v/>
      </c>
    </row>
    <row r="252" spans="1:14">
      <c r="A252" s="211"/>
      <c r="B252" s="211"/>
      <c r="C252" s="208"/>
      <c r="D252" s="212"/>
      <c r="E252" s="208"/>
      <c r="F252" s="220"/>
      <c r="G252" s="221"/>
      <c r="H252" s="211" t="str">
        <f t="shared" si="35"/>
        <v/>
      </c>
      <c r="I252" s="216"/>
      <c r="J252" s="216"/>
      <c r="K252" s="216"/>
      <c r="M252" s="144" t="str">
        <f t="shared" si="31"/>
        <v/>
      </c>
      <c r="N252" s="144" t="str">
        <f t="shared" si="32"/>
        <v/>
      </c>
    </row>
    <row r="253" spans="1:14">
      <c r="A253" s="211"/>
      <c r="B253" s="211"/>
      <c r="C253" s="208"/>
      <c r="D253" s="212"/>
      <c r="E253" s="208"/>
      <c r="F253" s="220"/>
      <c r="G253" s="221"/>
      <c r="H253" s="211" t="str">
        <f t="shared" si="35"/>
        <v/>
      </c>
      <c r="I253" s="216"/>
      <c r="J253" s="216"/>
      <c r="K253" s="216"/>
      <c r="M253" s="144" t="str">
        <f t="shared" si="31"/>
        <v/>
      </c>
      <c r="N253" s="144" t="str">
        <f t="shared" si="32"/>
        <v/>
      </c>
    </row>
    <row r="254" spans="1:14">
      <c r="A254" s="211"/>
      <c r="B254" s="211"/>
      <c r="C254" s="208"/>
      <c r="D254" s="212"/>
      <c r="E254" s="208"/>
      <c r="F254" s="220"/>
      <c r="G254" s="221"/>
      <c r="H254" s="211" t="str">
        <f t="shared" si="35"/>
        <v/>
      </c>
      <c r="I254" s="206"/>
      <c r="J254" s="206"/>
      <c r="K254" s="206"/>
      <c r="M254" s="144" t="str">
        <f t="shared" si="31"/>
        <v/>
      </c>
      <c r="N254" s="144" t="str">
        <f t="shared" si="32"/>
        <v/>
      </c>
    </row>
    <row r="255" spans="1:14">
      <c r="A255" s="211"/>
      <c r="B255" s="211"/>
      <c r="C255" s="208"/>
      <c r="D255" s="212"/>
      <c r="E255" s="208"/>
      <c r="F255" s="220"/>
      <c r="G255" s="221"/>
      <c r="H255" s="211" t="str">
        <f t="shared" si="35"/>
        <v/>
      </c>
      <c r="I255" s="206"/>
      <c r="J255" s="206"/>
      <c r="K255" s="206"/>
      <c r="M255" s="144" t="str">
        <f t="shared" si="31"/>
        <v/>
      </c>
      <c r="N255" s="144" t="str">
        <f t="shared" si="32"/>
        <v/>
      </c>
    </row>
    <row r="256" spans="1:14">
      <c r="A256" s="211"/>
      <c r="B256" s="211"/>
      <c r="C256" s="208"/>
      <c r="D256" s="212"/>
      <c r="E256" s="208"/>
      <c r="F256" s="220"/>
      <c r="G256" s="221"/>
      <c r="H256" s="211" t="str">
        <f t="shared" si="35"/>
        <v/>
      </c>
      <c r="I256" s="206"/>
      <c r="J256" s="206"/>
      <c r="K256" s="206"/>
      <c r="M256" s="144" t="str">
        <f t="shared" si="31"/>
        <v/>
      </c>
      <c r="N256" s="144" t="str">
        <f t="shared" si="32"/>
        <v/>
      </c>
    </row>
    <row r="257" spans="1:14">
      <c r="A257" s="211"/>
      <c r="B257" s="211"/>
      <c r="C257" s="208"/>
      <c r="D257" s="212"/>
      <c r="E257" s="208"/>
      <c r="F257" s="220"/>
      <c r="G257" s="221"/>
      <c r="H257" s="211" t="str">
        <f t="shared" si="35"/>
        <v/>
      </c>
      <c r="I257" s="206"/>
      <c r="J257" s="206"/>
      <c r="K257" s="206"/>
      <c r="M257" s="144" t="str">
        <f t="shared" si="31"/>
        <v/>
      </c>
      <c r="N257" s="144" t="str">
        <f t="shared" si="32"/>
        <v/>
      </c>
    </row>
    <row r="258" spans="1:14">
      <c r="A258" s="211"/>
      <c r="B258" s="211"/>
      <c r="C258" s="215"/>
      <c r="D258" s="222"/>
      <c r="E258" s="215"/>
      <c r="F258" s="214"/>
      <c r="G258" s="215"/>
      <c r="H258" s="211" t="str">
        <f t="shared" si="35"/>
        <v/>
      </c>
      <c r="I258" s="206"/>
      <c r="J258" s="206"/>
      <c r="K258" s="206"/>
      <c r="M258" s="144" t="str">
        <f t="shared" si="31"/>
        <v/>
      </c>
      <c r="N258" s="144" t="str">
        <f t="shared" si="32"/>
        <v/>
      </c>
    </row>
    <row r="259" spans="1:14">
      <c r="A259" s="211"/>
      <c r="B259" s="211"/>
      <c r="C259" s="215"/>
      <c r="D259" s="222"/>
      <c r="E259" s="215"/>
      <c r="F259" s="214"/>
      <c r="G259" s="215"/>
      <c r="H259" s="211" t="str">
        <f t="shared" si="35"/>
        <v/>
      </c>
      <c r="I259" s="206"/>
      <c r="J259" s="206"/>
      <c r="K259" s="206"/>
      <c r="M259" s="144" t="str">
        <f t="shared" si="31"/>
        <v/>
      </c>
      <c r="N259" s="144" t="str">
        <f t="shared" si="32"/>
        <v/>
      </c>
    </row>
    <row r="260" spans="1:14">
      <c r="A260" s="211"/>
      <c r="B260" s="211"/>
      <c r="C260" s="215"/>
      <c r="D260" s="222"/>
      <c r="E260" s="215"/>
      <c r="F260" s="214"/>
      <c r="G260" s="215"/>
      <c r="H260" s="211" t="str">
        <f t="shared" si="35"/>
        <v/>
      </c>
      <c r="I260" s="206"/>
      <c r="J260" s="206"/>
      <c r="K260" s="206"/>
      <c r="M260" s="144" t="str">
        <f t="shared" ref="M260:M323" si="36">LEFT(E260,3)</f>
        <v/>
      </c>
      <c r="N260" s="144" t="str">
        <f t="shared" ref="N260:N323" si="37">LEFT(E260,2)</f>
        <v/>
      </c>
    </row>
    <row r="261" spans="1:14">
      <c r="A261" s="211"/>
      <c r="B261" s="211"/>
      <c r="C261" s="215"/>
      <c r="D261" s="222"/>
      <c r="E261" s="215"/>
      <c r="F261" s="214"/>
      <c r="G261" s="215"/>
      <c r="H261" s="211" t="str">
        <f t="shared" si="35"/>
        <v/>
      </c>
      <c r="I261" s="206"/>
      <c r="J261" s="206"/>
      <c r="K261" s="206"/>
      <c r="M261" s="144" t="str">
        <f t="shared" si="36"/>
        <v/>
      </c>
      <c r="N261" s="144" t="str">
        <f t="shared" si="37"/>
        <v/>
      </c>
    </row>
    <row r="262" spans="1:14">
      <c r="A262" s="211"/>
      <c r="B262" s="211"/>
      <c r="C262" s="215"/>
      <c r="D262" s="222"/>
      <c r="E262" s="215"/>
      <c r="F262" s="214"/>
      <c r="G262" s="215"/>
      <c r="H262" s="211" t="str">
        <f t="shared" si="35"/>
        <v/>
      </c>
      <c r="I262" s="206"/>
      <c r="J262" s="206"/>
      <c r="K262" s="206"/>
      <c r="M262" s="144" t="str">
        <f t="shared" si="36"/>
        <v/>
      </c>
      <c r="N262" s="144" t="str">
        <f t="shared" si="37"/>
        <v/>
      </c>
    </row>
    <row r="263" spans="1:14">
      <c r="A263" s="211"/>
      <c r="B263" s="211"/>
      <c r="C263" s="215"/>
      <c r="D263" s="222"/>
      <c r="E263" s="215"/>
      <c r="F263" s="214"/>
      <c r="G263" s="215"/>
      <c r="H263" s="211" t="str">
        <f t="shared" si="35"/>
        <v/>
      </c>
      <c r="I263" s="206"/>
      <c r="J263" s="206"/>
      <c r="K263" s="206"/>
      <c r="M263" s="144" t="str">
        <f t="shared" si="36"/>
        <v/>
      </c>
      <c r="N263" s="144" t="str">
        <f t="shared" si="37"/>
        <v/>
      </c>
    </row>
    <row r="264" spans="1:14">
      <c r="A264" s="211"/>
      <c r="B264" s="211"/>
      <c r="C264" s="215"/>
      <c r="D264" s="222"/>
      <c r="E264" s="215"/>
      <c r="F264" s="214"/>
      <c r="G264" s="215"/>
      <c r="H264" s="211" t="str">
        <f t="shared" si="35"/>
        <v/>
      </c>
      <c r="I264" s="206"/>
      <c r="J264" s="206"/>
      <c r="K264" s="206"/>
      <c r="M264" s="144" t="str">
        <f t="shared" si="36"/>
        <v/>
      </c>
      <c r="N264" s="144" t="str">
        <f t="shared" si="37"/>
        <v/>
      </c>
    </row>
    <row r="265" spans="1:14">
      <c r="A265" s="211"/>
      <c r="B265" s="211"/>
      <c r="C265" s="215"/>
      <c r="D265" s="222"/>
      <c r="E265" s="215"/>
      <c r="F265" s="214"/>
      <c r="G265" s="215"/>
      <c r="H265" s="211" t="str">
        <f t="shared" si="35"/>
        <v/>
      </c>
      <c r="I265" s="206"/>
      <c r="J265" s="206"/>
      <c r="K265" s="206"/>
      <c r="M265" s="144" t="str">
        <f t="shared" si="36"/>
        <v/>
      </c>
      <c r="N265" s="144" t="str">
        <f t="shared" si="37"/>
        <v/>
      </c>
    </row>
    <row r="266" spans="1:14">
      <c r="A266" s="211"/>
      <c r="B266" s="211"/>
      <c r="C266" s="215"/>
      <c r="D266" s="222"/>
      <c r="E266" s="215"/>
      <c r="F266" s="214"/>
      <c r="G266" s="215"/>
      <c r="H266" s="211" t="str">
        <f t="shared" si="35"/>
        <v/>
      </c>
      <c r="I266" s="206"/>
      <c r="J266" s="206"/>
      <c r="K266" s="206"/>
      <c r="M266" s="144" t="str">
        <f t="shared" si="36"/>
        <v/>
      </c>
      <c r="N266" s="144" t="str">
        <f t="shared" si="37"/>
        <v/>
      </c>
    </row>
    <row r="267" spans="1:14">
      <c r="A267" s="211"/>
      <c r="B267" s="211"/>
      <c r="C267" s="215"/>
      <c r="D267" s="222"/>
      <c r="E267" s="215"/>
      <c r="F267" s="214"/>
      <c r="G267" s="215"/>
      <c r="H267" s="211" t="str">
        <f t="shared" si="35"/>
        <v/>
      </c>
      <c r="I267" s="206"/>
      <c r="J267" s="206"/>
      <c r="K267" s="206"/>
      <c r="M267" s="144" t="str">
        <f t="shared" si="36"/>
        <v/>
      </c>
      <c r="N267" s="144" t="str">
        <f t="shared" si="37"/>
        <v/>
      </c>
    </row>
    <row r="268" spans="1:14">
      <c r="A268" s="211"/>
      <c r="B268" s="211"/>
      <c r="C268" s="215"/>
      <c r="D268" s="222"/>
      <c r="E268" s="215"/>
      <c r="F268" s="214"/>
      <c r="G268" s="215"/>
      <c r="H268" s="211" t="str">
        <f t="shared" ref="H268:H322" si="38">IFERROR(VLOOKUP(G268,$X$6:$Y$50,2,FALSE),"")</f>
        <v/>
      </c>
      <c r="I268" s="206"/>
      <c r="J268" s="206"/>
      <c r="K268" s="206"/>
      <c r="M268" s="144" t="str">
        <f t="shared" si="36"/>
        <v/>
      </c>
      <c r="N268" s="144" t="str">
        <f t="shared" si="37"/>
        <v/>
      </c>
    </row>
    <row r="269" spans="1:14">
      <c r="A269" s="211"/>
      <c r="B269" s="211"/>
      <c r="C269" s="215"/>
      <c r="D269" s="222"/>
      <c r="E269" s="215"/>
      <c r="F269" s="214"/>
      <c r="G269" s="215"/>
      <c r="H269" s="211" t="str">
        <f t="shared" si="38"/>
        <v/>
      </c>
      <c r="I269" s="206"/>
      <c r="J269" s="206"/>
      <c r="K269" s="206"/>
      <c r="M269" s="144" t="str">
        <f t="shared" si="36"/>
        <v/>
      </c>
      <c r="N269" s="144" t="str">
        <f t="shared" si="37"/>
        <v/>
      </c>
    </row>
    <row r="270" spans="1:14">
      <c r="A270" s="211"/>
      <c r="B270" s="211"/>
      <c r="C270" s="215"/>
      <c r="D270" s="222"/>
      <c r="E270" s="215"/>
      <c r="F270" s="214"/>
      <c r="G270" s="215"/>
      <c r="H270" s="211" t="str">
        <f>IFERROR(VLOOKUP(G270,$X$6:$Y$50,2,FALSE),"")</f>
        <v/>
      </c>
      <c r="I270" s="206"/>
      <c r="J270" s="206"/>
      <c r="K270" s="206"/>
      <c r="M270" s="144" t="str">
        <f t="shared" si="36"/>
        <v/>
      </c>
      <c r="N270" s="144" t="str">
        <f t="shared" si="37"/>
        <v/>
      </c>
    </row>
    <row r="271" spans="1:14">
      <c r="A271" s="211"/>
      <c r="B271" s="211"/>
      <c r="C271" s="215"/>
      <c r="D271" s="222"/>
      <c r="E271" s="215"/>
      <c r="F271" s="214"/>
      <c r="G271" s="215"/>
      <c r="H271" s="211" t="str">
        <f>IFERROR(VLOOKUP(G271,$X$6:$Y$50,2,FALSE),"")</f>
        <v/>
      </c>
      <c r="I271" s="206"/>
      <c r="J271" s="206"/>
      <c r="K271" s="206"/>
      <c r="M271" s="144" t="str">
        <f t="shared" si="36"/>
        <v/>
      </c>
      <c r="N271" s="144" t="str">
        <f t="shared" si="37"/>
        <v/>
      </c>
    </row>
    <row r="272" spans="1:14">
      <c r="A272" s="211"/>
      <c r="B272" s="211"/>
      <c r="C272" s="215"/>
      <c r="D272" s="222"/>
      <c r="E272" s="215"/>
      <c r="F272" s="214"/>
      <c r="G272" s="215"/>
      <c r="H272" s="211" t="str">
        <f>IFERROR(VLOOKUP(G272,$X$6:$Y$50,2,FALSE),"")</f>
        <v/>
      </c>
      <c r="I272" s="216"/>
      <c r="J272" s="216"/>
      <c r="K272" s="216"/>
      <c r="M272" s="144" t="str">
        <f t="shared" si="36"/>
        <v/>
      </c>
      <c r="N272" s="144" t="str">
        <f t="shared" si="37"/>
        <v/>
      </c>
    </row>
    <row r="273" spans="1:14">
      <c r="A273" s="211"/>
      <c r="B273" s="211"/>
      <c r="C273" s="215"/>
      <c r="D273" s="222"/>
      <c r="E273" s="215"/>
      <c r="F273" s="214"/>
      <c r="G273" s="215"/>
      <c r="H273" s="211" t="str">
        <f>IFERROR(VLOOKUP(G273,$X$6:$Y$50,2,FALSE),"")</f>
        <v/>
      </c>
      <c r="I273" s="216"/>
      <c r="J273" s="216"/>
      <c r="K273" s="216"/>
      <c r="M273" s="144" t="str">
        <f t="shared" si="36"/>
        <v/>
      </c>
      <c r="N273" s="144" t="str">
        <f t="shared" si="37"/>
        <v/>
      </c>
    </row>
    <row r="274" spans="1:14">
      <c r="A274" s="211"/>
      <c r="B274" s="211"/>
      <c r="C274" s="215"/>
      <c r="D274" s="222"/>
      <c r="E274" s="215"/>
      <c r="F274" s="214"/>
      <c r="G274" s="215"/>
      <c r="H274" s="211" t="str">
        <f t="shared" si="38"/>
        <v/>
      </c>
      <c r="I274" s="216"/>
      <c r="J274" s="216"/>
      <c r="K274" s="216"/>
      <c r="M274" s="144" t="str">
        <f t="shared" si="36"/>
        <v/>
      </c>
      <c r="N274" s="144" t="str">
        <f t="shared" si="37"/>
        <v/>
      </c>
    </row>
    <row r="275" spans="1:14">
      <c r="A275" s="211"/>
      <c r="B275" s="211"/>
      <c r="C275" s="215"/>
      <c r="D275" s="222"/>
      <c r="E275" s="215"/>
      <c r="F275" s="214"/>
      <c r="G275" s="215"/>
      <c r="H275" s="211" t="str">
        <f t="shared" si="38"/>
        <v/>
      </c>
      <c r="I275" s="216"/>
      <c r="J275" s="216"/>
      <c r="K275" s="216"/>
      <c r="M275" s="144" t="str">
        <f t="shared" si="36"/>
        <v/>
      </c>
      <c r="N275" s="144" t="str">
        <f t="shared" si="37"/>
        <v/>
      </c>
    </row>
    <row r="276" spans="1:14">
      <c r="A276" s="211"/>
      <c r="B276" s="211"/>
      <c r="C276" s="215"/>
      <c r="D276" s="222"/>
      <c r="E276" s="215"/>
      <c r="F276" s="214"/>
      <c r="G276" s="215"/>
      <c r="H276" s="211" t="str">
        <f t="shared" ref="H276:H289" si="39">IFERROR(VLOOKUP(G276,$X$6:$Y$50,2,FALSE),"")</f>
        <v/>
      </c>
      <c r="I276" s="216"/>
      <c r="J276" s="216"/>
      <c r="K276" s="216"/>
      <c r="M276" s="144" t="str">
        <f t="shared" si="36"/>
        <v/>
      </c>
      <c r="N276" s="144" t="str">
        <f t="shared" si="37"/>
        <v/>
      </c>
    </row>
    <row r="277" spans="1:14">
      <c r="A277" s="211"/>
      <c r="B277" s="211"/>
      <c r="C277" s="215"/>
      <c r="D277" s="222"/>
      <c r="E277" s="215"/>
      <c r="F277" s="214"/>
      <c r="G277" s="215"/>
      <c r="H277" s="211" t="str">
        <f t="shared" si="39"/>
        <v/>
      </c>
      <c r="I277" s="216"/>
      <c r="J277" s="216"/>
      <c r="K277" s="216"/>
      <c r="M277" s="144" t="str">
        <f t="shared" si="36"/>
        <v/>
      </c>
      <c r="N277" s="144" t="str">
        <f t="shared" si="37"/>
        <v/>
      </c>
    </row>
    <row r="278" spans="1:14">
      <c r="A278" s="211"/>
      <c r="B278" s="211"/>
      <c r="C278" s="215"/>
      <c r="D278" s="222"/>
      <c r="E278" s="215"/>
      <c r="F278" s="214"/>
      <c r="G278" s="215"/>
      <c r="H278" s="211" t="str">
        <f t="shared" si="39"/>
        <v/>
      </c>
      <c r="I278" s="216"/>
      <c r="J278" s="216"/>
      <c r="K278" s="216"/>
      <c r="M278" s="144" t="str">
        <f t="shared" si="36"/>
        <v/>
      </c>
      <c r="N278" s="144" t="str">
        <f t="shared" si="37"/>
        <v/>
      </c>
    </row>
    <row r="279" spans="1:14">
      <c r="A279" s="211"/>
      <c r="B279" s="211"/>
      <c r="C279" s="215"/>
      <c r="D279" s="222"/>
      <c r="E279" s="215"/>
      <c r="F279" s="214"/>
      <c r="G279" s="215"/>
      <c r="H279" s="211" t="str">
        <f t="shared" si="39"/>
        <v/>
      </c>
      <c r="I279" s="216"/>
      <c r="J279" s="216"/>
      <c r="K279" s="216"/>
      <c r="M279" s="144" t="str">
        <f t="shared" si="36"/>
        <v/>
      </c>
      <c r="N279" s="144" t="str">
        <f t="shared" si="37"/>
        <v/>
      </c>
    </row>
    <row r="280" spans="1:14">
      <c r="A280" s="211"/>
      <c r="B280" s="211"/>
      <c r="C280" s="215"/>
      <c r="D280" s="222"/>
      <c r="E280" s="215"/>
      <c r="F280" s="214"/>
      <c r="G280" s="215"/>
      <c r="H280" s="211" t="str">
        <f t="shared" si="39"/>
        <v/>
      </c>
      <c r="I280" s="216"/>
      <c r="J280" s="216"/>
      <c r="K280" s="216"/>
      <c r="M280" s="144" t="str">
        <f t="shared" si="36"/>
        <v/>
      </c>
      <c r="N280" s="144" t="str">
        <f t="shared" si="37"/>
        <v/>
      </c>
    </row>
    <row r="281" spans="1:14">
      <c r="A281" s="211"/>
      <c r="B281" s="211"/>
      <c r="C281" s="215"/>
      <c r="D281" s="222"/>
      <c r="E281" s="215"/>
      <c r="F281" s="214"/>
      <c r="G281" s="215"/>
      <c r="H281" s="211" t="str">
        <f t="shared" si="39"/>
        <v/>
      </c>
      <c r="I281" s="216"/>
      <c r="J281" s="216"/>
      <c r="K281" s="216"/>
      <c r="M281" s="144" t="str">
        <f t="shared" si="36"/>
        <v/>
      </c>
      <c r="N281" s="144" t="str">
        <f t="shared" si="37"/>
        <v/>
      </c>
    </row>
    <row r="282" spans="1:14">
      <c r="A282" s="211"/>
      <c r="B282" s="211"/>
      <c r="C282" s="215"/>
      <c r="D282" s="222"/>
      <c r="E282" s="215"/>
      <c r="F282" s="214"/>
      <c r="G282" s="215"/>
      <c r="H282" s="211" t="str">
        <f t="shared" si="39"/>
        <v/>
      </c>
      <c r="I282" s="216"/>
      <c r="J282" s="216"/>
      <c r="K282" s="216"/>
      <c r="M282" s="144" t="str">
        <f t="shared" si="36"/>
        <v/>
      </c>
      <c r="N282" s="144" t="str">
        <f t="shared" si="37"/>
        <v/>
      </c>
    </row>
    <row r="283" spans="1:14">
      <c r="A283" s="211"/>
      <c r="B283" s="211"/>
      <c r="C283" s="215"/>
      <c r="D283" s="222"/>
      <c r="E283" s="215"/>
      <c r="F283" s="214"/>
      <c r="G283" s="215"/>
      <c r="H283" s="211" t="str">
        <f t="shared" si="39"/>
        <v/>
      </c>
      <c r="I283" s="216"/>
      <c r="J283" s="216"/>
      <c r="K283" s="216"/>
      <c r="M283" s="144" t="str">
        <f t="shared" si="36"/>
        <v/>
      </c>
      <c r="N283" s="144" t="str">
        <f t="shared" si="37"/>
        <v/>
      </c>
    </row>
    <row r="284" spans="1:14">
      <c r="A284" s="211"/>
      <c r="B284" s="211"/>
      <c r="C284" s="215"/>
      <c r="D284" s="222"/>
      <c r="E284" s="215"/>
      <c r="F284" s="214"/>
      <c r="G284" s="215"/>
      <c r="H284" s="211" t="str">
        <f t="shared" si="39"/>
        <v/>
      </c>
      <c r="I284" s="216"/>
      <c r="J284" s="216"/>
      <c r="K284" s="216"/>
      <c r="M284" s="144" t="str">
        <f t="shared" si="36"/>
        <v/>
      </c>
      <c r="N284" s="144" t="str">
        <f t="shared" si="37"/>
        <v/>
      </c>
    </row>
    <row r="285" spans="1:14">
      <c r="A285" s="211"/>
      <c r="B285" s="211"/>
      <c r="C285" s="213"/>
      <c r="D285" s="222"/>
      <c r="E285" s="215"/>
      <c r="F285" s="214"/>
      <c r="G285" s="215"/>
      <c r="H285" s="211" t="str">
        <f t="shared" si="39"/>
        <v/>
      </c>
      <c r="I285" s="216"/>
      <c r="J285" s="216"/>
      <c r="K285" s="216"/>
      <c r="M285" s="144" t="str">
        <f t="shared" si="36"/>
        <v/>
      </c>
      <c r="N285" s="144" t="str">
        <f t="shared" si="37"/>
        <v/>
      </c>
    </row>
    <row r="286" spans="1:14">
      <c r="A286" s="211"/>
      <c r="B286" s="211"/>
      <c r="C286" s="213"/>
      <c r="D286" s="222"/>
      <c r="E286" s="215"/>
      <c r="F286" s="214"/>
      <c r="G286" s="215"/>
      <c r="H286" s="211" t="str">
        <f t="shared" si="39"/>
        <v/>
      </c>
      <c r="I286" s="216"/>
      <c r="J286" s="216"/>
      <c r="K286" s="216"/>
      <c r="M286" s="144" t="str">
        <f t="shared" si="36"/>
        <v/>
      </c>
      <c r="N286" s="144" t="str">
        <f t="shared" si="37"/>
        <v/>
      </c>
    </row>
    <row r="287" spans="1:14">
      <c r="A287" s="211"/>
      <c r="B287" s="211"/>
      <c r="C287" s="213"/>
      <c r="D287" s="222"/>
      <c r="E287" s="215"/>
      <c r="F287" s="214"/>
      <c r="G287" s="215"/>
      <c r="H287" s="211" t="str">
        <f t="shared" si="39"/>
        <v/>
      </c>
      <c r="I287" s="216"/>
      <c r="J287" s="216"/>
      <c r="K287" s="216"/>
      <c r="M287" s="144" t="str">
        <f t="shared" si="36"/>
        <v/>
      </c>
      <c r="N287" s="144" t="str">
        <f t="shared" si="37"/>
        <v/>
      </c>
    </row>
    <row r="288" spans="1:14">
      <c r="A288" s="211"/>
      <c r="B288" s="211"/>
      <c r="C288" s="213"/>
      <c r="D288" s="222"/>
      <c r="E288" s="215"/>
      <c r="F288" s="214"/>
      <c r="G288" s="215"/>
      <c r="H288" s="211" t="str">
        <f t="shared" si="39"/>
        <v/>
      </c>
      <c r="I288" s="216"/>
      <c r="J288" s="216"/>
      <c r="K288" s="216"/>
      <c r="M288" s="144" t="str">
        <f t="shared" si="36"/>
        <v/>
      </c>
      <c r="N288" s="144" t="str">
        <f t="shared" si="37"/>
        <v/>
      </c>
    </row>
    <row r="289" spans="1:14">
      <c r="A289" s="211"/>
      <c r="B289" s="211"/>
      <c r="C289" s="213"/>
      <c r="D289" s="222"/>
      <c r="E289" s="208"/>
      <c r="F289" s="220"/>
      <c r="G289" s="215"/>
      <c r="H289" s="211" t="str">
        <f t="shared" si="39"/>
        <v/>
      </c>
      <c r="I289" s="216"/>
      <c r="J289" s="216"/>
      <c r="K289" s="216"/>
      <c r="M289" s="144" t="str">
        <f t="shared" si="36"/>
        <v/>
      </c>
      <c r="N289" s="144" t="str">
        <f t="shared" si="37"/>
        <v/>
      </c>
    </row>
    <row r="290" spans="1:14">
      <c r="A290" s="211"/>
      <c r="B290" s="211"/>
      <c r="C290" s="213"/>
      <c r="D290" s="222"/>
      <c r="E290" s="215"/>
      <c r="F290" s="214"/>
      <c r="G290" s="215"/>
      <c r="H290" s="211" t="str">
        <f t="shared" si="38"/>
        <v/>
      </c>
      <c r="I290" s="216"/>
      <c r="J290" s="216"/>
      <c r="K290" s="216"/>
      <c r="M290" s="144" t="str">
        <f t="shared" si="36"/>
        <v/>
      </c>
      <c r="N290" s="144" t="str">
        <f t="shared" si="37"/>
        <v/>
      </c>
    </row>
    <row r="291" spans="1:14">
      <c r="A291" s="211"/>
      <c r="B291" s="211"/>
      <c r="C291" s="213"/>
      <c r="D291" s="222"/>
      <c r="E291" s="208"/>
      <c r="F291" s="220"/>
      <c r="G291" s="215"/>
      <c r="H291" s="211" t="str">
        <f t="shared" ref="H291:H303" si="40">IFERROR(VLOOKUP(G291,$X$6:$Y$50,2,FALSE),"")</f>
        <v/>
      </c>
      <c r="I291" s="216"/>
      <c r="J291" s="216"/>
      <c r="K291" s="216"/>
      <c r="M291" s="144" t="str">
        <f t="shared" si="36"/>
        <v/>
      </c>
      <c r="N291" s="144" t="str">
        <f t="shared" si="37"/>
        <v/>
      </c>
    </row>
    <row r="292" spans="1:14">
      <c r="A292" s="211"/>
      <c r="B292" s="211"/>
      <c r="C292" s="213"/>
      <c r="D292" s="222"/>
      <c r="E292" s="215"/>
      <c r="F292" s="214"/>
      <c r="G292" s="215"/>
      <c r="H292" s="211" t="str">
        <f t="shared" si="40"/>
        <v/>
      </c>
      <c r="I292" s="216"/>
      <c r="J292" s="216"/>
      <c r="K292" s="216"/>
      <c r="M292" s="144" t="str">
        <f t="shared" si="36"/>
        <v/>
      </c>
      <c r="N292" s="144" t="str">
        <f t="shared" si="37"/>
        <v/>
      </c>
    </row>
    <row r="293" spans="1:14">
      <c r="A293" s="211"/>
      <c r="B293" s="211"/>
      <c r="C293" s="213"/>
      <c r="D293" s="222"/>
      <c r="E293" s="215"/>
      <c r="F293" s="214"/>
      <c r="G293" s="215"/>
      <c r="H293" s="211" t="str">
        <f t="shared" si="40"/>
        <v/>
      </c>
      <c r="I293" s="216"/>
      <c r="J293" s="216"/>
      <c r="K293" s="216"/>
      <c r="M293" s="144" t="str">
        <f t="shared" si="36"/>
        <v/>
      </c>
      <c r="N293" s="144" t="str">
        <f t="shared" si="37"/>
        <v/>
      </c>
    </row>
    <row r="294" spans="1:14">
      <c r="A294" s="211"/>
      <c r="B294" s="211"/>
      <c r="C294" s="213"/>
      <c r="D294" s="222"/>
      <c r="E294" s="208"/>
      <c r="F294" s="220"/>
      <c r="G294" s="215"/>
      <c r="H294" s="211" t="str">
        <f t="shared" si="40"/>
        <v/>
      </c>
      <c r="I294" s="216"/>
      <c r="J294" s="216"/>
      <c r="K294" s="216"/>
      <c r="M294" s="144" t="str">
        <f t="shared" si="36"/>
        <v/>
      </c>
      <c r="N294" s="144" t="str">
        <f t="shared" si="37"/>
        <v/>
      </c>
    </row>
    <row r="295" spans="1:14">
      <c r="A295" s="211"/>
      <c r="B295" s="211"/>
      <c r="C295" s="213"/>
      <c r="D295" s="222"/>
      <c r="E295" s="215"/>
      <c r="F295" s="214"/>
      <c r="G295" s="215"/>
      <c r="H295" s="211" t="str">
        <f t="shared" si="40"/>
        <v/>
      </c>
      <c r="I295" s="216"/>
      <c r="J295" s="216"/>
      <c r="K295" s="216"/>
      <c r="M295" s="144" t="str">
        <f t="shared" si="36"/>
        <v/>
      </c>
      <c r="N295" s="144" t="str">
        <f t="shared" si="37"/>
        <v/>
      </c>
    </row>
    <row r="296" spans="1:14">
      <c r="A296" s="211"/>
      <c r="B296" s="211"/>
      <c r="C296" s="213"/>
      <c r="D296" s="222"/>
      <c r="E296" s="215"/>
      <c r="F296" s="214"/>
      <c r="G296" s="215"/>
      <c r="H296" s="211" t="str">
        <f t="shared" si="40"/>
        <v/>
      </c>
      <c r="I296" s="216"/>
      <c r="J296" s="216"/>
      <c r="K296" s="216"/>
      <c r="M296" s="144" t="str">
        <f t="shared" si="36"/>
        <v/>
      </c>
      <c r="N296" s="144" t="str">
        <f t="shared" si="37"/>
        <v/>
      </c>
    </row>
    <row r="297" spans="1:14">
      <c r="A297" s="211"/>
      <c r="B297" s="211"/>
      <c r="C297" s="213"/>
      <c r="D297" s="222"/>
      <c r="E297" s="215"/>
      <c r="F297" s="214"/>
      <c r="G297" s="215"/>
      <c r="H297" s="211" t="str">
        <f t="shared" si="40"/>
        <v/>
      </c>
      <c r="I297" s="216"/>
      <c r="J297" s="216"/>
      <c r="K297" s="216"/>
      <c r="M297" s="144" t="str">
        <f t="shared" si="36"/>
        <v/>
      </c>
      <c r="N297" s="144" t="str">
        <f t="shared" si="37"/>
        <v/>
      </c>
    </row>
    <row r="298" spans="1:14">
      <c r="A298" s="211"/>
      <c r="B298" s="211"/>
      <c r="C298" s="213"/>
      <c r="D298" s="222"/>
      <c r="E298" s="215"/>
      <c r="F298" s="214"/>
      <c r="G298" s="215"/>
      <c r="H298" s="211" t="str">
        <f t="shared" si="40"/>
        <v/>
      </c>
      <c r="I298" s="216"/>
      <c r="J298" s="216"/>
      <c r="K298" s="216"/>
      <c r="M298" s="144" t="str">
        <f t="shared" si="36"/>
        <v/>
      </c>
      <c r="N298" s="144" t="str">
        <f t="shared" si="37"/>
        <v/>
      </c>
    </row>
    <row r="299" spans="1:14">
      <c r="A299" s="211"/>
      <c r="B299" s="211"/>
      <c r="C299" s="213"/>
      <c r="D299" s="222"/>
      <c r="E299" s="215"/>
      <c r="F299" s="214"/>
      <c r="G299" s="215"/>
      <c r="H299" s="211" t="str">
        <f t="shared" si="40"/>
        <v/>
      </c>
      <c r="I299" s="216"/>
      <c r="J299" s="216"/>
      <c r="K299" s="216"/>
      <c r="M299" s="144" t="str">
        <f t="shared" si="36"/>
        <v/>
      </c>
      <c r="N299" s="144" t="str">
        <f t="shared" si="37"/>
        <v/>
      </c>
    </row>
    <row r="300" spans="1:14">
      <c r="A300" s="211"/>
      <c r="B300" s="211"/>
      <c r="C300" s="213"/>
      <c r="D300" s="222"/>
      <c r="E300" s="215"/>
      <c r="F300" s="214"/>
      <c r="G300" s="215"/>
      <c r="H300" s="211" t="str">
        <f t="shared" si="40"/>
        <v/>
      </c>
      <c r="I300" s="216"/>
      <c r="J300" s="216"/>
      <c r="K300" s="216"/>
      <c r="M300" s="144" t="str">
        <f t="shared" si="36"/>
        <v/>
      </c>
      <c r="N300" s="144" t="str">
        <f t="shared" si="37"/>
        <v/>
      </c>
    </row>
    <row r="301" spans="1:14">
      <c r="A301" s="211"/>
      <c r="B301" s="211"/>
      <c r="C301" s="215"/>
      <c r="D301" s="222"/>
      <c r="E301" s="215"/>
      <c r="F301" s="222"/>
      <c r="G301" s="215"/>
      <c r="H301" s="211" t="str">
        <f t="shared" si="40"/>
        <v/>
      </c>
      <c r="I301" s="216"/>
      <c r="J301" s="216"/>
      <c r="K301" s="216"/>
      <c r="M301" s="144" t="str">
        <f t="shared" si="36"/>
        <v/>
      </c>
      <c r="N301" s="144" t="str">
        <f t="shared" si="37"/>
        <v/>
      </c>
    </row>
    <row r="302" spans="1:14">
      <c r="A302" s="211"/>
      <c r="B302" s="211"/>
      <c r="C302" s="215"/>
      <c r="D302" s="222"/>
      <c r="E302" s="215"/>
      <c r="F302" s="222"/>
      <c r="G302" s="215"/>
      <c r="H302" s="211" t="str">
        <f t="shared" si="40"/>
        <v/>
      </c>
      <c r="I302" s="216"/>
      <c r="J302" s="216"/>
      <c r="K302" s="216"/>
      <c r="M302" s="144" t="str">
        <f t="shared" si="36"/>
        <v/>
      </c>
      <c r="N302" s="144" t="str">
        <f t="shared" si="37"/>
        <v/>
      </c>
    </row>
    <row r="303" spans="1:14">
      <c r="A303" s="211"/>
      <c r="B303" s="211"/>
      <c r="C303" s="215"/>
      <c r="D303" s="222"/>
      <c r="E303" s="215"/>
      <c r="F303" s="214"/>
      <c r="G303" s="215"/>
      <c r="H303" s="211" t="str">
        <f t="shared" si="40"/>
        <v/>
      </c>
      <c r="I303" s="216"/>
      <c r="J303" s="216"/>
      <c r="K303" s="216"/>
      <c r="M303" s="144" t="str">
        <f t="shared" si="36"/>
        <v/>
      </c>
      <c r="N303" s="144" t="str">
        <f t="shared" si="37"/>
        <v/>
      </c>
    </row>
    <row r="304" spans="1:14">
      <c r="A304" s="211"/>
      <c r="B304" s="211"/>
      <c r="C304" s="215"/>
      <c r="D304" s="222"/>
      <c r="E304" s="215"/>
      <c r="F304" s="222"/>
      <c r="G304" s="215"/>
      <c r="H304" s="211" t="str">
        <f t="shared" si="38"/>
        <v/>
      </c>
      <c r="I304" s="216"/>
      <c r="J304" s="216"/>
      <c r="K304" s="216"/>
      <c r="M304" s="144" t="str">
        <f t="shared" si="36"/>
        <v/>
      </c>
      <c r="N304" s="144" t="str">
        <f t="shared" si="37"/>
        <v/>
      </c>
    </row>
    <row r="305" spans="1:14">
      <c r="A305" s="211"/>
      <c r="B305" s="211"/>
      <c r="C305" s="215"/>
      <c r="D305" s="222"/>
      <c r="E305" s="215"/>
      <c r="F305" s="222"/>
      <c r="G305" s="215"/>
      <c r="H305" s="211" t="str">
        <f t="shared" si="38"/>
        <v/>
      </c>
      <c r="I305" s="216"/>
      <c r="J305" s="216"/>
      <c r="K305" s="216"/>
      <c r="M305" s="144" t="str">
        <f t="shared" si="36"/>
        <v/>
      </c>
      <c r="N305" s="144" t="str">
        <f t="shared" si="37"/>
        <v/>
      </c>
    </row>
    <row r="306" spans="1:14">
      <c r="A306" s="211"/>
      <c r="B306" s="211"/>
      <c r="C306" s="215"/>
      <c r="D306" s="222"/>
      <c r="E306" s="215"/>
      <c r="F306" s="214"/>
      <c r="G306" s="215"/>
      <c r="H306" s="211" t="str">
        <f t="shared" ref="H306:H321" si="41">IFERROR(VLOOKUP(G306,$X$6:$Y$50,2,FALSE),"")</f>
        <v/>
      </c>
      <c r="I306" s="216"/>
      <c r="J306" s="216"/>
      <c r="K306" s="216"/>
      <c r="M306" s="144" t="str">
        <f t="shared" si="36"/>
        <v/>
      </c>
      <c r="N306" s="144" t="str">
        <f t="shared" si="37"/>
        <v/>
      </c>
    </row>
    <row r="307" spans="1:14">
      <c r="A307" s="211"/>
      <c r="B307" s="211"/>
      <c r="C307" s="215"/>
      <c r="D307" s="222"/>
      <c r="E307" s="215"/>
      <c r="F307" s="222"/>
      <c r="G307" s="215"/>
      <c r="H307" s="211" t="str">
        <f t="shared" si="41"/>
        <v/>
      </c>
      <c r="I307" s="216"/>
      <c r="J307" s="216"/>
      <c r="K307" s="216"/>
      <c r="M307" s="144" t="str">
        <f t="shared" si="36"/>
        <v/>
      </c>
      <c r="N307" s="144" t="str">
        <f t="shared" si="37"/>
        <v/>
      </c>
    </row>
    <row r="308" spans="1:14">
      <c r="A308" s="211"/>
      <c r="B308" s="211"/>
      <c r="C308" s="215"/>
      <c r="D308" s="222"/>
      <c r="E308" s="215"/>
      <c r="F308" s="222"/>
      <c r="G308" s="215"/>
      <c r="H308" s="211" t="str">
        <f t="shared" si="41"/>
        <v/>
      </c>
      <c r="I308" s="216"/>
      <c r="J308" s="216"/>
      <c r="K308" s="216"/>
      <c r="M308" s="144" t="str">
        <f t="shared" si="36"/>
        <v/>
      </c>
      <c r="N308" s="144" t="str">
        <f t="shared" si="37"/>
        <v/>
      </c>
    </row>
    <row r="309" spans="1:14">
      <c r="A309" s="211"/>
      <c r="B309" s="211"/>
      <c r="C309" s="215"/>
      <c r="D309" s="222"/>
      <c r="E309" s="215"/>
      <c r="F309" s="222"/>
      <c r="G309" s="215"/>
      <c r="H309" s="211" t="str">
        <f t="shared" si="41"/>
        <v/>
      </c>
      <c r="I309" s="216"/>
      <c r="J309" s="216"/>
      <c r="K309" s="216"/>
      <c r="M309" s="144" t="str">
        <f t="shared" si="36"/>
        <v/>
      </c>
      <c r="N309" s="144" t="str">
        <f t="shared" si="37"/>
        <v/>
      </c>
    </row>
    <row r="310" spans="1:14">
      <c r="A310" s="211"/>
      <c r="B310" s="211"/>
      <c r="C310" s="215"/>
      <c r="D310" s="222"/>
      <c r="E310" s="215"/>
      <c r="F310" s="214"/>
      <c r="G310" s="215"/>
      <c r="H310" s="211" t="str">
        <f t="shared" si="41"/>
        <v/>
      </c>
      <c r="I310" s="216"/>
      <c r="J310" s="216"/>
      <c r="K310" s="216"/>
      <c r="M310" s="144" t="str">
        <f t="shared" si="36"/>
        <v/>
      </c>
      <c r="N310" s="144" t="str">
        <f t="shared" si="37"/>
        <v/>
      </c>
    </row>
    <row r="311" spans="1:14">
      <c r="A311" s="211"/>
      <c r="B311" s="211"/>
      <c r="C311" s="215"/>
      <c r="D311" s="222"/>
      <c r="E311" s="215"/>
      <c r="F311" s="222"/>
      <c r="G311" s="215"/>
      <c r="H311" s="211" t="str">
        <f t="shared" si="41"/>
        <v/>
      </c>
      <c r="I311" s="216"/>
      <c r="J311" s="216"/>
      <c r="K311" s="216"/>
      <c r="M311" s="144" t="str">
        <f t="shared" si="36"/>
        <v/>
      </c>
      <c r="N311" s="144" t="str">
        <f t="shared" si="37"/>
        <v/>
      </c>
    </row>
    <row r="312" spans="1:14">
      <c r="A312" s="211"/>
      <c r="B312" s="211"/>
      <c r="C312" s="215"/>
      <c r="D312" s="222"/>
      <c r="E312" s="215"/>
      <c r="F312" s="222"/>
      <c r="G312" s="215"/>
      <c r="H312" s="211" t="str">
        <f t="shared" si="41"/>
        <v/>
      </c>
      <c r="I312" s="216"/>
      <c r="J312" s="216"/>
      <c r="K312" s="216"/>
      <c r="M312" s="144" t="str">
        <f t="shared" si="36"/>
        <v/>
      </c>
      <c r="N312" s="144" t="str">
        <f t="shared" si="37"/>
        <v/>
      </c>
    </row>
    <row r="313" spans="1:14">
      <c r="A313" s="211"/>
      <c r="B313" s="211"/>
      <c r="C313" s="215"/>
      <c r="D313" s="222"/>
      <c r="E313" s="215"/>
      <c r="F313" s="222"/>
      <c r="G313" s="215"/>
      <c r="H313" s="211" t="str">
        <f t="shared" si="41"/>
        <v/>
      </c>
      <c r="I313" s="216"/>
      <c r="J313" s="216"/>
      <c r="K313" s="216"/>
      <c r="M313" s="144" t="str">
        <f t="shared" si="36"/>
        <v/>
      </c>
      <c r="N313" s="144" t="str">
        <f t="shared" si="37"/>
        <v/>
      </c>
    </row>
    <row r="314" spans="1:14">
      <c r="A314" s="211"/>
      <c r="B314" s="211"/>
      <c r="C314" s="215"/>
      <c r="D314" s="222"/>
      <c r="E314" s="215"/>
      <c r="F314" s="214"/>
      <c r="G314" s="215"/>
      <c r="H314" s="211" t="str">
        <f t="shared" si="41"/>
        <v/>
      </c>
      <c r="I314" s="216"/>
      <c r="J314" s="216"/>
      <c r="K314" s="216"/>
      <c r="M314" s="144" t="str">
        <f t="shared" si="36"/>
        <v/>
      </c>
      <c r="N314" s="144" t="str">
        <f t="shared" si="37"/>
        <v/>
      </c>
    </row>
    <row r="315" spans="1:14">
      <c r="A315" s="202"/>
      <c r="B315" s="202"/>
      <c r="C315" s="203"/>
      <c r="D315" s="202"/>
      <c r="E315" s="203"/>
      <c r="F315" s="202"/>
      <c r="G315" s="204"/>
      <c r="H315" s="202" t="str">
        <f t="shared" si="41"/>
        <v/>
      </c>
      <c r="I315" s="205"/>
      <c r="J315" s="205"/>
      <c r="K315" s="205"/>
      <c r="M315" s="144" t="str">
        <f t="shared" si="36"/>
        <v/>
      </c>
      <c r="N315" s="144" t="str">
        <f t="shared" si="37"/>
        <v/>
      </c>
    </row>
    <row r="316" spans="1:14">
      <c r="A316" s="147"/>
      <c r="B316" s="147"/>
      <c r="C316" s="153"/>
      <c r="D316" s="148"/>
      <c r="E316" s="153"/>
      <c r="F316" s="148"/>
      <c r="G316" s="159"/>
      <c r="H316" s="148" t="str">
        <f t="shared" si="41"/>
        <v/>
      </c>
      <c r="I316" s="156"/>
      <c r="J316" s="156"/>
      <c r="K316" s="156"/>
      <c r="M316" s="144" t="str">
        <f t="shared" si="36"/>
        <v/>
      </c>
      <c r="N316" s="144" t="str">
        <f t="shared" si="37"/>
        <v/>
      </c>
    </row>
    <row r="317" spans="1:14">
      <c r="A317" s="147"/>
      <c r="B317" s="147"/>
      <c r="C317" s="153"/>
      <c r="D317" s="148"/>
      <c r="E317" s="153"/>
      <c r="F317" s="148"/>
      <c r="G317" s="159"/>
      <c r="H317" s="148" t="str">
        <f t="shared" si="41"/>
        <v/>
      </c>
      <c r="I317" s="156"/>
      <c r="J317" s="156"/>
      <c r="K317" s="156"/>
      <c r="M317" s="144" t="str">
        <f t="shared" si="36"/>
        <v/>
      </c>
      <c r="N317" s="144" t="str">
        <f t="shared" si="37"/>
        <v/>
      </c>
    </row>
    <row r="318" spans="1:14">
      <c r="A318" s="147"/>
      <c r="B318" s="147"/>
      <c r="C318" s="153"/>
      <c r="D318" s="148"/>
      <c r="E318" s="153"/>
      <c r="F318" s="148"/>
      <c r="G318" s="159"/>
      <c r="H318" s="148" t="str">
        <f t="shared" si="41"/>
        <v/>
      </c>
      <c r="I318" s="156"/>
      <c r="J318" s="156"/>
      <c r="K318" s="156"/>
      <c r="M318" s="144" t="str">
        <f t="shared" si="36"/>
        <v/>
      </c>
      <c r="N318" s="144" t="str">
        <f t="shared" si="37"/>
        <v/>
      </c>
    </row>
    <row r="319" spans="1:14">
      <c r="A319" s="147"/>
      <c r="B319" s="147"/>
      <c r="C319" s="153"/>
      <c r="D319" s="148"/>
      <c r="E319" s="153"/>
      <c r="F319" s="148"/>
      <c r="G319" s="159"/>
      <c r="H319" s="148" t="str">
        <f t="shared" si="41"/>
        <v/>
      </c>
      <c r="I319" s="156"/>
      <c r="J319" s="156"/>
      <c r="K319" s="156"/>
      <c r="M319" s="144" t="str">
        <f t="shared" si="36"/>
        <v/>
      </c>
      <c r="N319" s="144" t="str">
        <f t="shared" si="37"/>
        <v/>
      </c>
    </row>
    <row r="320" spans="1:14">
      <c r="A320" s="147"/>
      <c r="B320" s="147"/>
      <c r="C320" s="153"/>
      <c r="D320" s="148"/>
      <c r="E320" s="153"/>
      <c r="F320" s="148"/>
      <c r="G320" s="159"/>
      <c r="H320" s="148" t="str">
        <f t="shared" si="41"/>
        <v/>
      </c>
      <c r="I320" s="156"/>
      <c r="J320" s="156"/>
      <c r="K320" s="156"/>
      <c r="M320" s="144" t="str">
        <f t="shared" si="36"/>
        <v/>
      </c>
      <c r="N320" s="144" t="str">
        <f t="shared" si="37"/>
        <v/>
      </c>
    </row>
    <row r="321" spans="1:14">
      <c r="A321" s="147"/>
      <c r="B321" s="147"/>
      <c r="C321" s="153"/>
      <c r="D321" s="148"/>
      <c r="E321" s="153"/>
      <c r="F321" s="148"/>
      <c r="G321" s="159"/>
      <c r="H321" s="148" t="str">
        <f t="shared" si="41"/>
        <v/>
      </c>
      <c r="I321" s="156"/>
      <c r="J321" s="156"/>
      <c r="K321" s="156"/>
      <c r="M321" s="144" t="str">
        <f t="shared" si="36"/>
        <v/>
      </c>
      <c r="N321" s="144" t="str">
        <f t="shared" si="37"/>
        <v/>
      </c>
    </row>
    <row r="322" spans="1:14">
      <c r="A322" s="147"/>
      <c r="B322" s="147"/>
      <c r="C322" s="153"/>
      <c r="D322" s="148"/>
      <c r="E322" s="153"/>
      <c r="F322" s="148"/>
      <c r="G322" s="159"/>
      <c r="H322" s="148" t="str">
        <f t="shared" si="38"/>
        <v/>
      </c>
      <c r="I322" s="156"/>
      <c r="J322" s="156"/>
      <c r="K322" s="156"/>
      <c r="M322" s="144" t="str">
        <f t="shared" si="36"/>
        <v/>
      </c>
      <c r="N322" s="144" t="str">
        <f t="shared" si="37"/>
        <v/>
      </c>
    </row>
    <row r="323" spans="1:14">
      <c r="A323" s="147"/>
      <c r="B323" s="147"/>
      <c r="C323" s="153"/>
      <c r="D323" s="148"/>
      <c r="E323" s="153"/>
      <c r="F323" s="148"/>
      <c r="G323" s="159"/>
      <c r="H323" s="148" t="str">
        <f t="shared" ref="H323:H336" si="42">IFERROR(VLOOKUP(G323,$X$6:$Y$50,2,FALSE),"")</f>
        <v/>
      </c>
      <c r="I323" s="156"/>
      <c r="J323" s="156"/>
      <c r="K323" s="156"/>
      <c r="M323" s="144" t="str">
        <f t="shared" si="36"/>
        <v/>
      </c>
      <c r="N323" s="144" t="str">
        <f t="shared" si="37"/>
        <v/>
      </c>
    </row>
    <row r="324" spans="1:14">
      <c r="A324" s="147"/>
      <c r="B324" s="147"/>
      <c r="C324" s="153"/>
      <c r="D324" s="148"/>
      <c r="E324" s="153"/>
      <c r="F324" s="148"/>
      <c r="G324" s="159"/>
      <c r="H324" s="148" t="str">
        <f t="shared" si="42"/>
        <v/>
      </c>
      <c r="I324" s="156"/>
      <c r="J324" s="156"/>
      <c r="K324" s="156"/>
      <c r="M324" s="144" t="str">
        <f t="shared" ref="M324:M387" si="43">LEFT(E324,3)</f>
        <v/>
      </c>
      <c r="N324" s="144" t="str">
        <f t="shared" ref="N324:N387" si="44">LEFT(E324,2)</f>
        <v/>
      </c>
    </row>
    <row r="325" spans="1:14">
      <c r="A325" s="147"/>
      <c r="B325" s="147"/>
      <c r="C325" s="153"/>
      <c r="D325" s="148"/>
      <c r="E325" s="153"/>
      <c r="F325" s="148"/>
      <c r="G325" s="159"/>
      <c r="H325" s="148" t="str">
        <f t="shared" si="42"/>
        <v/>
      </c>
      <c r="I325" s="156"/>
      <c r="J325" s="156"/>
      <c r="K325" s="156"/>
      <c r="M325" s="144" t="str">
        <f t="shared" si="43"/>
        <v/>
      </c>
      <c r="N325" s="144" t="str">
        <f t="shared" si="44"/>
        <v/>
      </c>
    </row>
    <row r="326" spans="1:14">
      <c r="A326" s="147"/>
      <c r="B326" s="147"/>
      <c r="C326" s="153"/>
      <c r="D326" s="148"/>
      <c r="E326" s="153"/>
      <c r="F326" s="148"/>
      <c r="G326" s="159"/>
      <c r="H326" s="148" t="str">
        <f t="shared" si="42"/>
        <v/>
      </c>
      <c r="I326" s="156"/>
      <c r="J326" s="156"/>
      <c r="K326" s="156"/>
      <c r="M326" s="144" t="str">
        <f t="shared" si="43"/>
        <v/>
      </c>
      <c r="N326" s="144" t="str">
        <f t="shared" si="44"/>
        <v/>
      </c>
    </row>
    <row r="327" spans="1:14">
      <c r="A327" s="147"/>
      <c r="B327" s="147"/>
      <c r="C327" s="153"/>
      <c r="D327" s="148"/>
      <c r="E327" s="153"/>
      <c r="F327" s="148"/>
      <c r="G327" s="159"/>
      <c r="H327" s="148" t="str">
        <f t="shared" si="42"/>
        <v/>
      </c>
      <c r="I327" s="156"/>
      <c r="J327" s="156"/>
      <c r="K327" s="156"/>
      <c r="M327" s="144" t="str">
        <f t="shared" si="43"/>
        <v/>
      </c>
      <c r="N327" s="144" t="str">
        <f t="shared" si="44"/>
        <v/>
      </c>
    </row>
    <row r="328" spans="1:14">
      <c r="A328" s="147"/>
      <c r="B328" s="147"/>
      <c r="C328" s="153"/>
      <c r="D328" s="148"/>
      <c r="E328" s="153"/>
      <c r="F328" s="148"/>
      <c r="G328" s="159"/>
      <c r="H328" s="148" t="str">
        <f t="shared" si="42"/>
        <v/>
      </c>
      <c r="I328" s="156"/>
      <c r="J328" s="156"/>
      <c r="K328" s="156"/>
      <c r="M328" s="144" t="str">
        <f t="shared" si="43"/>
        <v/>
      </c>
      <c r="N328" s="144" t="str">
        <f t="shared" si="44"/>
        <v/>
      </c>
    </row>
    <row r="329" spans="1:14">
      <c r="A329" s="147"/>
      <c r="B329" s="147"/>
      <c r="C329" s="153"/>
      <c r="D329" s="148"/>
      <c r="E329" s="153"/>
      <c r="F329" s="148"/>
      <c r="G329" s="159"/>
      <c r="H329" s="148" t="str">
        <f t="shared" si="42"/>
        <v/>
      </c>
      <c r="I329" s="156"/>
      <c r="J329" s="156"/>
      <c r="K329" s="156"/>
      <c r="M329" s="144" t="str">
        <f t="shared" si="43"/>
        <v/>
      </c>
      <c r="N329" s="144" t="str">
        <f t="shared" si="44"/>
        <v/>
      </c>
    </row>
    <row r="330" spans="1:14">
      <c r="A330" s="147"/>
      <c r="B330" s="147"/>
      <c r="C330" s="153"/>
      <c r="D330" s="148"/>
      <c r="E330" s="153"/>
      <c r="F330" s="148"/>
      <c r="G330" s="159"/>
      <c r="H330" s="148" t="str">
        <f t="shared" si="42"/>
        <v/>
      </c>
      <c r="I330" s="156"/>
      <c r="J330" s="156"/>
      <c r="K330" s="156"/>
      <c r="M330" s="144" t="str">
        <f t="shared" si="43"/>
        <v/>
      </c>
      <c r="N330" s="144" t="str">
        <f t="shared" si="44"/>
        <v/>
      </c>
    </row>
    <row r="331" spans="1:14">
      <c r="A331" s="147"/>
      <c r="B331" s="147"/>
      <c r="C331" s="153"/>
      <c r="D331" s="148"/>
      <c r="E331" s="153"/>
      <c r="F331" s="148"/>
      <c r="G331" s="159"/>
      <c r="H331" s="148" t="str">
        <f t="shared" si="42"/>
        <v/>
      </c>
      <c r="I331" s="156"/>
      <c r="J331" s="156"/>
      <c r="K331" s="156"/>
      <c r="M331" s="144" t="str">
        <f t="shared" si="43"/>
        <v/>
      </c>
      <c r="N331" s="144" t="str">
        <f t="shared" si="44"/>
        <v/>
      </c>
    </row>
    <row r="332" spans="1:14">
      <c r="A332" s="147"/>
      <c r="B332" s="147"/>
      <c r="C332" s="153"/>
      <c r="D332" s="148"/>
      <c r="E332" s="153"/>
      <c r="F332" s="148"/>
      <c r="G332" s="159"/>
      <c r="H332" s="148" t="str">
        <f t="shared" si="42"/>
        <v/>
      </c>
      <c r="I332" s="156"/>
      <c r="J332" s="156"/>
      <c r="K332" s="156"/>
      <c r="M332" s="144" t="str">
        <f t="shared" si="43"/>
        <v/>
      </c>
      <c r="N332" s="144" t="str">
        <f t="shared" si="44"/>
        <v/>
      </c>
    </row>
    <row r="333" spans="1:14">
      <c r="A333" s="147"/>
      <c r="B333" s="147"/>
      <c r="C333" s="153"/>
      <c r="D333" s="148"/>
      <c r="E333" s="153"/>
      <c r="F333" s="148"/>
      <c r="G333" s="159"/>
      <c r="H333" s="148" t="str">
        <f t="shared" si="42"/>
        <v/>
      </c>
      <c r="I333" s="156"/>
      <c r="J333" s="156"/>
      <c r="K333" s="156"/>
      <c r="M333" s="144" t="str">
        <f t="shared" si="43"/>
        <v/>
      </c>
      <c r="N333" s="144" t="str">
        <f t="shared" si="44"/>
        <v/>
      </c>
    </row>
    <row r="334" spans="1:14">
      <c r="A334" s="147"/>
      <c r="B334" s="147"/>
      <c r="C334" s="153"/>
      <c r="D334" s="148"/>
      <c r="E334" s="153"/>
      <c r="F334" s="148"/>
      <c r="G334" s="159"/>
      <c r="H334" s="148" t="str">
        <f t="shared" si="42"/>
        <v/>
      </c>
      <c r="I334" s="156"/>
      <c r="J334" s="156"/>
      <c r="K334" s="156"/>
      <c r="M334" s="144" t="str">
        <f t="shared" si="43"/>
        <v/>
      </c>
      <c r="N334" s="144" t="str">
        <f t="shared" si="44"/>
        <v/>
      </c>
    </row>
    <row r="335" spans="1:14">
      <c r="A335" s="147"/>
      <c r="B335" s="147"/>
      <c r="C335" s="153"/>
      <c r="D335" s="148"/>
      <c r="E335" s="153"/>
      <c r="F335" s="148"/>
      <c r="G335" s="159"/>
      <c r="H335" s="148" t="str">
        <f t="shared" si="42"/>
        <v/>
      </c>
      <c r="I335" s="156"/>
      <c r="J335" s="156"/>
      <c r="K335" s="156"/>
      <c r="M335" s="144" t="str">
        <f t="shared" si="43"/>
        <v/>
      </c>
      <c r="N335" s="144" t="str">
        <f t="shared" si="44"/>
        <v/>
      </c>
    </row>
    <row r="336" spans="1:14">
      <c r="A336" s="147"/>
      <c r="B336" s="147"/>
      <c r="C336" s="153"/>
      <c r="D336" s="148"/>
      <c r="E336" s="153"/>
      <c r="F336" s="148"/>
      <c r="G336" s="159"/>
      <c r="H336" s="148" t="str">
        <f t="shared" si="42"/>
        <v/>
      </c>
      <c r="I336" s="156"/>
      <c r="J336" s="156"/>
      <c r="K336" s="156"/>
      <c r="M336" s="144" t="str">
        <f t="shared" si="43"/>
        <v/>
      </c>
      <c r="N336" s="144" t="str">
        <f t="shared" si="44"/>
        <v/>
      </c>
    </row>
    <row r="337" spans="1:14">
      <c r="A337" s="147"/>
      <c r="B337" s="147"/>
      <c r="C337" s="153"/>
      <c r="D337" s="148"/>
      <c r="E337" s="153"/>
      <c r="F337" s="148"/>
      <c r="G337" s="159"/>
      <c r="H337" s="148" t="str">
        <f t="shared" ref="H337:H339" si="45">IFERROR(VLOOKUP(G337,$X$6:$Y$50,2,FALSE),"")</f>
        <v/>
      </c>
      <c r="I337" s="156"/>
      <c r="J337" s="156"/>
      <c r="K337" s="156"/>
      <c r="M337" s="144" t="str">
        <f t="shared" si="43"/>
        <v/>
      </c>
      <c r="N337" s="144" t="str">
        <f t="shared" si="44"/>
        <v/>
      </c>
    </row>
    <row r="338" spans="1:14">
      <c r="A338" s="147"/>
      <c r="B338" s="147"/>
      <c r="C338" s="153"/>
      <c r="D338" s="148"/>
      <c r="E338" s="153"/>
      <c r="F338" s="148"/>
      <c r="G338" s="159"/>
      <c r="H338" s="148" t="str">
        <f t="shared" si="45"/>
        <v/>
      </c>
      <c r="I338" s="156"/>
      <c r="J338" s="156"/>
      <c r="K338" s="156"/>
      <c r="M338" s="144" t="str">
        <f t="shared" si="43"/>
        <v/>
      </c>
      <c r="N338" s="144" t="str">
        <f t="shared" si="44"/>
        <v/>
      </c>
    </row>
    <row r="339" spans="1:14">
      <c r="A339" s="147"/>
      <c r="B339" s="147"/>
      <c r="C339" s="153"/>
      <c r="D339" s="148"/>
      <c r="E339" s="153"/>
      <c r="F339" s="148"/>
      <c r="G339" s="159"/>
      <c r="H339" s="148" t="str">
        <f t="shared" si="45"/>
        <v/>
      </c>
      <c r="I339" s="156"/>
      <c r="J339" s="156"/>
      <c r="K339" s="156"/>
      <c r="M339" s="144" t="str">
        <f t="shared" si="43"/>
        <v/>
      </c>
      <c r="N339" s="144" t="str">
        <f t="shared" si="44"/>
        <v/>
      </c>
    </row>
    <row r="340" spans="1:14">
      <c r="A340" s="147"/>
      <c r="B340" s="147"/>
      <c r="C340" s="153"/>
      <c r="D340" s="148"/>
      <c r="E340" s="153"/>
      <c r="F340" s="148"/>
      <c r="G340" s="159"/>
      <c r="H340" s="148" t="str">
        <f t="shared" ref="H340:H371" si="46">IFERROR(VLOOKUP(G340,$X$6:$Y$50,2,FALSE),"")</f>
        <v/>
      </c>
      <c r="I340" s="156"/>
      <c r="J340" s="156"/>
      <c r="K340" s="156"/>
      <c r="M340" s="144" t="str">
        <f t="shared" si="43"/>
        <v/>
      </c>
      <c r="N340" s="144" t="str">
        <f t="shared" si="44"/>
        <v/>
      </c>
    </row>
    <row r="341" spans="1:14">
      <c r="A341" s="147"/>
      <c r="B341" s="147"/>
      <c r="C341" s="153"/>
      <c r="D341" s="148"/>
      <c r="E341" s="153"/>
      <c r="F341" s="148"/>
      <c r="G341" s="159"/>
      <c r="H341" s="148" t="str">
        <f t="shared" si="46"/>
        <v/>
      </c>
      <c r="I341" s="156"/>
      <c r="J341" s="156"/>
      <c r="K341" s="156"/>
      <c r="M341" s="144" t="str">
        <f t="shared" si="43"/>
        <v/>
      </c>
      <c r="N341" s="144" t="str">
        <f t="shared" si="44"/>
        <v/>
      </c>
    </row>
    <row r="342" spans="1:14">
      <c r="A342" s="147"/>
      <c r="B342" s="147"/>
      <c r="C342" s="153"/>
      <c r="D342" s="148"/>
      <c r="E342" s="153"/>
      <c r="F342" s="148"/>
      <c r="G342" s="159"/>
      <c r="H342" s="148" t="str">
        <f t="shared" si="46"/>
        <v/>
      </c>
      <c r="I342" s="156"/>
      <c r="J342" s="156"/>
      <c r="K342" s="156"/>
      <c r="M342" s="144" t="str">
        <f t="shared" si="43"/>
        <v/>
      </c>
      <c r="N342" s="144" t="str">
        <f t="shared" si="44"/>
        <v/>
      </c>
    </row>
    <row r="343" spans="1:14">
      <c r="A343" s="147"/>
      <c r="B343" s="147"/>
      <c r="C343" s="153"/>
      <c r="D343" s="148"/>
      <c r="E343" s="153"/>
      <c r="F343" s="148"/>
      <c r="G343" s="159"/>
      <c r="H343" s="148" t="str">
        <f t="shared" si="46"/>
        <v/>
      </c>
      <c r="I343" s="156"/>
      <c r="J343" s="156"/>
      <c r="K343" s="156"/>
      <c r="M343" s="144" t="str">
        <f t="shared" si="43"/>
        <v/>
      </c>
      <c r="N343" s="144" t="str">
        <f t="shared" si="44"/>
        <v/>
      </c>
    </row>
    <row r="344" spans="1:14">
      <c r="A344" s="147"/>
      <c r="B344" s="147"/>
      <c r="C344" s="153"/>
      <c r="D344" s="148"/>
      <c r="E344" s="153"/>
      <c r="F344" s="148"/>
      <c r="G344" s="159"/>
      <c r="H344" s="148" t="str">
        <f t="shared" si="46"/>
        <v/>
      </c>
      <c r="I344" s="156"/>
      <c r="J344" s="156"/>
      <c r="K344" s="156"/>
      <c r="M344" s="144" t="str">
        <f t="shared" si="43"/>
        <v/>
      </c>
      <c r="N344" s="144" t="str">
        <f t="shared" si="44"/>
        <v/>
      </c>
    </row>
    <row r="345" spans="1:14">
      <c r="A345" s="147"/>
      <c r="B345" s="147"/>
      <c r="C345" s="153"/>
      <c r="D345" s="148"/>
      <c r="E345" s="153"/>
      <c r="F345" s="148"/>
      <c r="G345" s="159"/>
      <c r="H345" s="148" t="str">
        <f t="shared" si="46"/>
        <v/>
      </c>
      <c r="I345" s="156"/>
      <c r="J345" s="156"/>
      <c r="K345" s="156"/>
      <c r="M345" s="144" t="str">
        <f t="shared" si="43"/>
        <v/>
      </c>
      <c r="N345" s="144" t="str">
        <f t="shared" si="44"/>
        <v/>
      </c>
    </row>
    <row r="346" spans="1:14">
      <c r="A346" s="147"/>
      <c r="B346" s="147"/>
      <c r="C346" s="153"/>
      <c r="D346" s="148"/>
      <c r="E346" s="153"/>
      <c r="F346" s="148"/>
      <c r="G346" s="159"/>
      <c r="H346" s="148" t="str">
        <f t="shared" si="46"/>
        <v/>
      </c>
      <c r="I346" s="156"/>
      <c r="J346" s="156"/>
      <c r="K346" s="156"/>
      <c r="M346" s="144" t="str">
        <f t="shared" si="43"/>
        <v/>
      </c>
      <c r="N346" s="144" t="str">
        <f t="shared" si="44"/>
        <v/>
      </c>
    </row>
    <row r="347" spans="1:14">
      <c r="A347" s="147"/>
      <c r="B347" s="147"/>
      <c r="C347" s="153"/>
      <c r="D347" s="148"/>
      <c r="E347" s="153"/>
      <c r="F347" s="148"/>
      <c r="G347" s="159"/>
      <c r="H347" s="148" t="str">
        <f t="shared" si="46"/>
        <v/>
      </c>
      <c r="I347" s="156"/>
      <c r="J347" s="156"/>
      <c r="K347" s="156"/>
      <c r="M347" s="144" t="str">
        <f t="shared" si="43"/>
        <v/>
      </c>
      <c r="N347" s="144" t="str">
        <f t="shared" si="44"/>
        <v/>
      </c>
    </row>
    <row r="348" spans="1:14">
      <c r="A348" s="147"/>
      <c r="B348" s="147"/>
      <c r="C348" s="153"/>
      <c r="D348" s="148"/>
      <c r="E348" s="153"/>
      <c r="F348" s="148"/>
      <c r="G348" s="159"/>
      <c r="H348" s="148" t="str">
        <f t="shared" si="46"/>
        <v/>
      </c>
      <c r="I348" s="156"/>
      <c r="J348" s="156"/>
      <c r="K348" s="156"/>
      <c r="M348" s="144" t="str">
        <f t="shared" si="43"/>
        <v/>
      </c>
      <c r="N348" s="144" t="str">
        <f t="shared" si="44"/>
        <v/>
      </c>
    </row>
    <row r="349" spans="1:14">
      <c r="A349" s="147"/>
      <c r="B349" s="147"/>
      <c r="C349" s="153"/>
      <c r="D349" s="148"/>
      <c r="E349" s="153"/>
      <c r="F349" s="148"/>
      <c r="G349" s="159"/>
      <c r="H349" s="148" t="str">
        <f t="shared" si="46"/>
        <v/>
      </c>
      <c r="I349" s="156"/>
      <c r="J349" s="156"/>
      <c r="K349" s="156"/>
      <c r="M349" s="144" t="str">
        <f t="shared" si="43"/>
        <v/>
      </c>
      <c r="N349" s="144" t="str">
        <f t="shared" si="44"/>
        <v/>
      </c>
    </row>
    <row r="350" spans="1:14">
      <c r="A350" s="147"/>
      <c r="B350" s="147"/>
      <c r="C350" s="153"/>
      <c r="D350" s="148"/>
      <c r="E350" s="153"/>
      <c r="F350" s="148"/>
      <c r="G350" s="159"/>
      <c r="H350" s="148" t="str">
        <f t="shared" si="46"/>
        <v/>
      </c>
      <c r="I350" s="156"/>
      <c r="J350" s="156"/>
      <c r="K350" s="156"/>
      <c r="M350" s="144" t="str">
        <f t="shared" si="43"/>
        <v/>
      </c>
      <c r="N350" s="144" t="str">
        <f t="shared" si="44"/>
        <v/>
      </c>
    </row>
    <row r="351" spans="1:14">
      <c r="A351" s="147"/>
      <c r="B351" s="147"/>
      <c r="C351" s="153"/>
      <c r="D351" s="148"/>
      <c r="E351" s="153"/>
      <c r="F351" s="148"/>
      <c r="G351" s="159"/>
      <c r="H351" s="148" t="str">
        <f t="shared" si="46"/>
        <v/>
      </c>
      <c r="I351" s="156"/>
      <c r="J351" s="156"/>
      <c r="K351" s="156"/>
      <c r="M351" s="144" t="str">
        <f t="shared" si="43"/>
        <v/>
      </c>
      <c r="N351" s="144" t="str">
        <f t="shared" si="44"/>
        <v/>
      </c>
    </row>
    <row r="352" spans="1:14">
      <c r="A352" s="147"/>
      <c r="B352" s="147"/>
      <c r="C352" s="153"/>
      <c r="D352" s="148"/>
      <c r="E352" s="153"/>
      <c r="F352" s="148"/>
      <c r="G352" s="159"/>
      <c r="H352" s="148" t="str">
        <f t="shared" si="46"/>
        <v/>
      </c>
      <c r="I352" s="156"/>
      <c r="J352" s="156"/>
      <c r="K352" s="156"/>
      <c r="M352" s="144" t="str">
        <f t="shared" si="43"/>
        <v/>
      </c>
      <c r="N352" s="144" t="str">
        <f t="shared" si="44"/>
        <v/>
      </c>
    </row>
    <row r="353" spans="1:14">
      <c r="A353" s="147"/>
      <c r="B353" s="147"/>
      <c r="C353" s="153"/>
      <c r="D353" s="148"/>
      <c r="E353" s="153"/>
      <c r="F353" s="148"/>
      <c r="G353" s="159"/>
      <c r="H353" s="148" t="str">
        <f t="shared" si="46"/>
        <v/>
      </c>
      <c r="I353" s="156"/>
      <c r="J353" s="156"/>
      <c r="K353" s="156"/>
      <c r="M353" s="144" t="str">
        <f t="shared" si="43"/>
        <v/>
      </c>
      <c r="N353" s="144" t="str">
        <f t="shared" si="44"/>
        <v/>
      </c>
    </row>
    <row r="354" spans="1:14">
      <c r="A354" s="147"/>
      <c r="B354" s="147"/>
      <c r="C354" s="153"/>
      <c r="D354" s="148"/>
      <c r="E354" s="153"/>
      <c r="F354" s="148"/>
      <c r="G354" s="159"/>
      <c r="H354" s="148" t="str">
        <f t="shared" si="46"/>
        <v/>
      </c>
      <c r="I354" s="156"/>
      <c r="J354" s="156"/>
      <c r="K354" s="156"/>
      <c r="M354" s="144" t="str">
        <f t="shared" si="43"/>
        <v/>
      </c>
      <c r="N354" s="144" t="str">
        <f t="shared" si="44"/>
        <v/>
      </c>
    </row>
    <row r="355" spans="1:14">
      <c r="A355" s="147"/>
      <c r="B355" s="147"/>
      <c r="C355" s="153"/>
      <c r="D355" s="148"/>
      <c r="E355" s="153"/>
      <c r="F355" s="148"/>
      <c r="G355" s="159"/>
      <c r="H355" s="148" t="str">
        <f t="shared" si="46"/>
        <v/>
      </c>
      <c r="I355" s="156"/>
      <c r="J355" s="156"/>
      <c r="K355" s="156"/>
      <c r="M355" s="144" t="str">
        <f t="shared" si="43"/>
        <v/>
      </c>
      <c r="N355" s="144" t="str">
        <f t="shared" si="44"/>
        <v/>
      </c>
    </row>
    <row r="356" spans="1:14">
      <c r="A356" s="147"/>
      <c r="B356" s="147"/>
      <c r="C356" s="153"/>
      <c r="D356" s="148"/>
      <c r="E356" s="153"/>
      <c r="F356" s="148"/>
      <c r="G356" s="159"/>
      <c r="H356" s="148" t="str">
        <f t="shared" si="46"/>
        <v/>
      </c>
      <c r="I356" s="156"/>
      <c r="J356" s="156"/>
      <c r="K356" s="156"/>
      <c r="M356" s="144" t="str">
        <f t="shared" si="43"/>
        <v/>
      </c>
      <c r="N356" s="144" t="str">
        <f t="shared" si="44"/>
        <v/>
      </c>
    </row>
    <row r="357" spans="1:14">
      <c r="A357" s="147"/>
      <c r="B357" s="147"/>
      <c r="C357" s="153"/>
      <c r="D357" s="148"/>
      <c r="E357" s="153"/>
      <c r="F357" s="148"/>
      <c r="G357" s="159"/>
      <c r="H357" s="148" t="str">
        <f t="shared" si="46"/>
        <v/>
      </c>
      <c r="I357" s="156"/>
      <c r="J357" s="156"/>
      <c r="K357" s="156"/>
      <c r="M357" s="144" t="str">
        <f t="shared" si="43"/>
        <v/>
      </c>
      <c r="N357" s="144" t="str">
        <f t="shared" si="44"/>
        <v/>
      </c>
    </row>
    <row r="358" spans="1:14">
      <c r="A358" s="147"/>
      <c r="B358" s="147"/>
      <c r="C358" s="153"/>
      <c r="D358" s="148"/>
      <c r="E358" s="153"/>
      <c r="F358" s="148"/>
      <c r="G358" s="159"/>
      <c r="H358" s="148" t="str">
        <f t="shared" si="46"/>
        <v/>
      </c>
      <c r="I358" s="156"/>
      <c r="J358" s="156"/>
      <c r="K358" s="156"/>
      <c r="M358" s="144" t="str">
        <f t="shared" si="43"/>
        <v/>
      </c>
      <c r="N358" s="144" t="str">
        <f t="shared" si="44"/>
        <v/>
      </c>
    </row>
    <row r="359" spans="1:14">
      <c r="A359" s="147"/>
      <c r="B359" s="147"/>
      <c r="C359" s="153"/>
      <c r="D359" s="148"/>
      <c r="E359" s="153"/>
      <c r="F359" s="148"/>
      <c r="G359" s="159"/>
      <c r="H359" s="148" t="str">
        <f t="shared" si="46"/>
        <v/>
      </c>
      <c r="I359" s="156"/>
      <c r="J359" s="156"/>
      <c r="K359" s="156"/>
      <c r="M359" s="144" t="str">
        <f t="shared" si="43"/>
        <v/>
      </c>
      <c r="N359" s="144" t="str">
        <f t="shared" si="44"/>
        <v/>
      </c>
    </row>
    <row r="360" spans="1:14">
      <c r="A360" s="147"/>
      <c r="B360" s="147"/>
      <c r="C360" s="153"/>
      <c r="D360" s="148"/>
      <c r="E360" s="153"/>
      <c r="F360" s="148"/>
      <c r="G360" s="159"/>
      <c r="H360" s="148" t="str">
        <f t="shared" si="46"/>
        <v/>
      </c>
      <c r="I360" s="156"/>
      <c r="J360" s="156"/>
      <c r="K360" s="156"/>
      <c r="M360" s="144" t="str">
        <f t="shared" si="43"/>
        <v/>
      </c>
      <c r="N360" s="144" t="str">
        <f t="shared" si="44"/>
        <v/>
      </c>
    </row>
    <row r="361" spans="1:14">
      <c r="A361" s="147"/>
      <c r="B361" s="147"/>
      <c r="C361" s="153"/>
      <c r="D361" s="148"/>
      <c r="E361" s="153"/>
      <c r="F361" s="148"/>
      <c r="G361" s="159"/>
      <c r="H361" s="148" t="str">
        <f t="shared" si="46"/>
        <v/>
      </c>
      <c r="I361" s="156"/>
      <c r="J361" s="156"/>
      <c r="K361" s="156"/>
      <c r="M361" s="144" t="str">
        <f t="shared" si="43"/>
        <v/>
      </c>
      <c r="N361" s="144" t="str">
        <f t="shared" si="44"/>
        <v/>
      </c>
    </row>
    <row r="362" spans="1:14">
      <c r="A362" s="147"/>
      <c r="B362" s="147"/>
      <c r="C362" s="153"/>
      <c r="D362" s="148"/>
      <c r="E362" s="153"/>
      <c r="F362" s="148"/>
      <c r="G362" s="159"/>
      <c r="H362" s="148" t="str">
        <f t="shared" si="46"/>
        <v/>
      </c>
      <c r="I362" s="156"/>
      <c r="J362" s="156"/>
      <c r="K362" s="156"/>
      <c r="M362" s="144" t="str">
        <f t="shared" si="43"/>
        <v/>
      </c>
      <c r="N362" s="144" t="str">
        <f t="shared" si="44"/>
        <v/>
      </c>
    </row>
    <row r="363" spans="1:14">
      <c r="A363" s="147"/>
      <c r="B363" s="147"/>
      <c r="C363" s="153"/>
      <c r="D363" s="148"/>
      <c r="E363" s="153"/>
      <c r="F363" s="148"/>
      <c r="G363" s="159"/>
      <c r="H363" s="148" t="str">
        <f t="shared" si="46"/>
        <v/>
      </c>
      <c r="I363" s="156"/>
      <c r="J363" s="156"/>
      <c r="K363" s="156"/>
      <c r="M363" s="144" t="str">
        <f t="shared" si="43"/>
        <v/>
      </c>
      <c r="N363" s="144" t="str">
        <f t="shared" si="44"/>
        <v/>
      </c>
    </row>
    <row r="364" spans="1:14">
      <c r="A364" s="147"/>
      <c r="B364" s="147"/>
      <c r="C364" s="153"/>
      <c r="D364" s="148"/>
      <c r="E364" s="153"/>
      <c r="F364" s="148"/>
      <c r="G364" s="159"/>
      <c r="H364" s="148" t="str">
        <f t="shared" si="46"/>
        <v/>
      </c>
      <c r="I364" s="156"/>
      <c r="J364" s="156"/>
      <c r="K364" s="156"/>
      <c r="M364" s="144" t="str">
        <f t="shared" si="43"/>
        <v/>
      </c>
      <c r="N364" s="144" t="str">
        <f t="shared" si="44"/>
        <v/>
      </c>
    </row>
    <row r="365" spans="1:14">
      <c r="A365" s="147"/>
      <c r="B365" s="147"/>
      <c r="C365" s="153"/>
      <c r="D365" s="148"/>
      <c r="E365" s="153"/>
      <c r="F365" s="148"/>
      <c r="G365" s="159"/>
      <c r="H365" s="148" t="str">
        <f t="shared" si="46"/>
        <v/>
      </c>
      <c r="I365" s="156"/>
      <c r="J365" s="156"/>
      <c r="K365" s="156"/>
      <c r="M365" s="144" t="str">
        <f t="shared" si="43"/>
        <v/>
      </c>
      <c r="N365" s="144" t="str">
        <f t="shared" si="44"/>
        <v/>
      </c>
    </row>
    <row r="366" spans="1:14">
      <c r="A366" s="147"/>
      <c r="B366" s="147"/>
      <c r="C366" s="153"/>
      <c r="D366" s="148"/>
      <c r="E366" s="153"/>
      <c r="F366" s="148"/>
      <c r="G366" s="159"/>
      <c r="H366" s="148" t="str">
        <f t="shared" si="46"/>
        <v/>
      </c>
      <c r="I366" s="156"/>
      <c r="J366" s="156"/>
      <c r="K366" s="156"/>
      <c r="M366" s="144" t="str">
        <f t="shared" si="43"/>
        <v/>
      </c>
      <c r="N366" s="144" t="str">
        <f t="shared" si="44"/>
        <v/>
      </c>
    </row>
    <row r="367" spans="1:14">
      <c r="A367" s="147"/>
      <c r="B367" s="147"/>
      <c r="C367" s="153"/>
      <c r="D367" s="148"/>
      <c r="E367" s="153"/>
      <c r="F367" s="148"/>
      <c r="G367" s="159"/>
      <c r="H367" s="148" t="str">
        <f t="shared" si="46"/>
        <v/>
      </c>
      <c r="I367" s="156"/>
      <c r="J367" s="156"/>
      <c r="K367" s="156"/>
      <c r="M367" s="144" t="str">
        <f t="shared" si="43"/>
        <v/>
      </c>
      <c r="N367" s="144" t="str">
        <f t="shared" si="44"/>
        <v/>
      </c>
    </row>
    <row r="368" spans="1:14">
      <c r="A368" s="147"/>
      <c r="B368" s="147"/>
      <c r="C368" s="153"/>
      <c r="D368" s="148"/>
      <c r="E368" s="153"/>
      <c r="F368" s="148"/>
      <c r="G368" s="159"/>
      <c r="H368" s="148" t="str">
        <f t="shared" si="46"/>
        <v/>
      </c>
      <c r="I368" s="156"/>
      <c r="J368" s="156"/>
      <c r="K368" s="156"/>
      <c r="M368" s="144" t="str">
        <f t="shared" si="43"/>
        <v/>
      </c>
      <c r="N368" s="144" t="str">
        <f t="shared" si="44"/>
        <v/>
      </c>
    </row>
    <row r="369" spans="1:14">
      <c r="A369" s="147"/>
      <c r="B369" s="147"/>
      <c r="C369" s="153"/>
      <c r="D369" s="148"/>
      <c r="E369" s="153"/>
      <c r="F369" s="148"/>
      <c r="G369" s="159"/>
      <c r="H369" s="148" t="str">
        <f t="shared" si="46"/>
        <v/>
      </c>
      <c r="I369" s="156"/>
      <c r="J369" s="156"/>
      <c r="K369" s="156"/>
      <c r="M369" s="144" t="str">
        <f t="shared" si="43"/>
        <v/>
      </c>
      <c r="N369" s="144" t="str">
        <f t="shared" si="44"/>
        <v/>
      </c>
    </row>
    <row r="370" spans="1:14">
      <c r="A370" s="147"/>
      <c r="B370" s="147"/>
      <c r="C370" s="153"/>
      <c r="D370" s="148"/>
      <c r="E370" s="153"/>
      <c r="F370" s="148"/>
      <c r="G370" s="159"/>
      <c r="H370" s="148" t="str">
        <f t="shared" si="46"/>
        <v/>
      </c>
      <c r="I370" s="156"/>
      <c r="J370" s="156"/>
      <c r="K370" s="156"/>
      <c r="M370" s="144" t="str">
        <f t="shared" si="43"/>
        <v/>
      </c>
      <c r="N370" s="144" t="str">
        <f t="shared" si="44"/>
        <v/>
      </c>
    </row>
    <row r="371" spans="1:14">
      <c r="A371" s="147"/>
      <c r="B371" s="147"/>
      <c r="C371" s="153"/>
      <c r="D371" s="148"/>
      <c r="E371" s="153"/>
      <c r="F371" s="148"/>
      <c r="G371" s="159"/>
      <c r="H371" s="148" t="str">
        <f t="shared" si="46"/>
        <v/>
      </c>
      <c r="I371" s="156"/>
      <c r="J371" s="156"/>
      <c r="K371" s="156"/>
      <c r="M371" s="144" t="str">
        <f t="shared" si="43"/>
        <v/>
      </c>
      <c r="N371" s="144" t="str">
        <f t="shared" si="44"/>
        <v/>
      </c>
    </row>
    <row r="372" spans="1:14">
      <c r="A372" s="147"/>
      <c r="B372" s="147"/>
      <c r="C372" s="153"/>
      <c r="D372" s="148"/>
      <c r="E372" s="153"/>
      <c r="F372" s="148"/>
      <c r="G372" s="159"/>
      <c r="H372" s="148" t="str">
        <f t="shared" ref="H372:H403" si="47">IFERROR(VLOOKUP(G372,$X$6:$Y$50,2,FALSE),"")</f>
        <v/>
      </c>
      <c r="I372" s="156"/>
      <c r="J372" s="156"/>
      <c r="K372" s="156"/>
      <c r="M372" s="144" t="str">
        <f t="shared" si="43"/>
        <v/>
      </c>
      <c r="N372" s="144" t="str">
        <f t="shared" si="44"/>
        <v/>
      </c>
    </row>
    <row r="373" spans="1:14">
      <c r="A373" s="147"/>
      <c r="B373" s="147"/>
      <c r="C373" s="153"/>
      <c r="D373" s="148"/>
      <c r="E373" s="153"/>
      <c r="F373" s="148"/>
      <c r="G373" s="159"/>
      <c r="H373" s="148" t="str">
        <f t="shared" si="47"/>
        <v/>
      </c>
      <c r="I373" s="156"/>
      <c r="J373" s="156"/>
      <c r="K373" s="156"/>
      <c r="M373" s="144" t="str">
        <f t="shared" si="43"/>
        <v/>
      </c>
      <c r="N373" s="144" t="str">
        <f t="shared" si="44"/>
        <v/>
      </c>
    </row>
    <row r="374" spans="1:14">
      <c r="A374" s="147"/>
      <c r="B374" s="147"/>
      <c r="C374" s="153"/>
      <c r="D374" s="148"/>
      <c r="E374" s="153"/>
      <c r="F374" s="148"/>
      <c r="G374" s="159"/>
      <c r="H374" s="148" t="str">
        <f t="shared" si="47"/>
        <v/>
      </c>
      <c r="I374" s="156"/>
      <c r="J374" s="156"/>
      <c r="K374" s="156"/>
      <c r="M374" s="144" t="str">
        <f t="shared" si="43"/>
        <v/>
      </c>
      <c r="N374" s="144" t="str">
        <f t="shared" si="44"/>
        <v/>
      </c>
    </row>
    <row r="375" spans="1:14">
      <c r="A375" s="147"/>
      <c r="B375" s="147"/>
      <c r="C375" s="153"/>
      <c r="D375" s="148"/>
      <c r="E375" s="153"/>
      <c r="F375" s="148"/>
      <c r="G375" s="159"/>
      <c r="H375" s="148" t="str">
        <f t="shared" si="47"/>
        <v/>
      </c>
      <c r="I375" s="156"/>
      <c r="J375" s="156"/>
      <c r="K375" s="156"/>
      <c r="M375" s="144" t="str">
        <f t="shared" si="43"/>
        <v/>
      </c>
      <c r="N375" s="144" t="str">
        <f t="shared" si="44"/>
        <v/>
      </c>
    </row>
    <row r="376" spans="1:14">
      <c r="A376" s="147"/>
      <c r="B376" s="147"/>
      <c r="C376" s="153"/>
      <c r="D376" s="148"/>
      <c r="E376" s="153"/>
      <c r="F376" s="148"/>
      <c r="G376" s="159"/>
      <c r="H376" s="148" t="str">
        <f t="shared" si="47"/>
        <v/>
      </c>
      <c r="I376" s="156"/>
      <c r="J376" s="156"/>
      <c r="K376" s="156"/>
      <c r="M376" s="144" t="str">
        <f t="shared" si="43"/>
        <v/>
      </c>
      <c r="N376" s="144" t="str">
        <f t="shared" si="44"/>
        <v/>
      </c>
    </row>
    <row r="377" spans="1:14">
      <c r="A377" s="147"/>
      <c r="B377" s="147"/>
      <c r="C377" s="153"/>
      <c r="D377" s="148"/>
      <c r="E377" s="153"/>
      <c r="F377" s="148"/>
      <c r="G377" s="159"/>
      <c r="H377" s="148" t="str">
        <f t="shared" si="47"/>
        <v/>
      </c>
      <c r="I377" s="156"/>
      <c r="J377" s="156"/>
      <c r="K377" s="156"/>
      <c r="M377" s="144" t="str">
        <f t="shared" si="43"/>
        <v/>
      </c>
      <c r="N377" s="144" t="str">
        <f t="shared" si="44"/>
        <v/>
      </c>
    </row>
    <row r="378" spans="1:14">
      <c r="A378" s="147"/>
      <c r="B378" s="147"/>
      <c r="C378" s="153"/>
      <c r="D378" s="148"/>
      <c r="E378" s="153"/>
      <c r="F378" s="148"/>
      <c r="G378" s="159"/>
      <c r="H378" s="148" t="str">
        <f t="shared" si="47"/>
        <v/>
      </c>
      <c r="I378" s="156"/>
      <c r="J378" s="156"/>
      <c r="K378" s="156"/>
      <c r="M378" s="144" t="str">
        <f t="shared" si="43"/>
        <v/>
      </c>
      <c r="N378" s="144" t="str">
        <f t="shared" si="44"/>
        <v/>
      </c>
    </row>
    <row r="379" spans="1:14">
      <c r="A379" s="147"/>
      <c r="B379" s="147"/>
      <c r="C379" s="153"/>
      <c r="D379" s="148"/>
      <c r="E379" s="153"/>
      <c r="F379" s="148"/>
      <c r="G379" s="159"/>
      <c r="H379" s="148" t="str">
        <f t="shared" si="47"/>
        <v/>
      </c>
      <c r="I379" s="156"/>
      <c r="J379" s="156"/>
      <c r="K379" s="156"/>
      <c r="M379" s="144" t="str">
        <f t="shared" si="43"/>
        <v/>
      </c>
      <c r="N379" s="144" t="str">
        <f t="shared" si="44"/>
        <v/>
      </c>
    </row>
    <row r="380" spans="1:14">
      <c r="A380" s="147"/>
      <c r="B380" s="147"/>
      <c r="C380" s="153"/>
      <c r="D380" s="148"/>
      <c r="E380" s="153"/>
      <c r="F380" s="148"/>
      <c r="G380" s="159"/>
      <c r="H380" s="148" t="str">
        <f t="shared" si="47"/>
        <v/>
      </c>
      <c r="I380" s="156"/>
      <c r="J380" s="156"/>
      <c r="K380" s="156"/>
      <c r="M380" s="144" t="str">
        <f t="shared" si="43"/>
        <v/>
      </c>
      <c r="N380" s="144" t="str">
        <f t="shared" si="44"/>
        <v/>
      </c>
    </row>
    <row r="381" spans="1:14">
      <c r="A381" s="147"/>
      <c r="B381" s="147"/>
      <c r="C381" s="153"/>
      <c r="D381" s="148"/>
      <c r="E381" s="153"/>
      <c r="F381" s="148"/>
      <c r="G381" s="159"/>
      <c r="H381" s="148" t="str">
        <f t="shared" si="47"/>
        <v/>
      </c>
      <c r="I381" s="156"/>
      <c r="J381" s="156"/>
      <c r="K381" s="156"/>
      <c r="M381" s="144" t="str">
        <f t="shared" si="43"/>
        <v/>
      </c>
      <c r="N381" s="144" t="str">
        <f t="shared" si="44"/>
        <v/>
      </c>
    </row>
    <row r="382" spans="1:14">
      <c r="A382" s="147"/>
      <c r="B382" s="147"/>
      <c r="C382" s="153"/>
      <c r="D382" s="148"/>
      <c r="E382" s="153"/>
      <c r="F382" s="148"/>
      <c r="G382" s="159"/>
      <c r="H382" s="148" t="str">
        <f t="shared" si="47"/>
        <v/>
      </c>
      <c r="I382" s="156"/>
      <c r="J382" s="156"/>
      <c r="K382" s="156"/>
      <c r="M382" s="144" t="str">
        <f t="shared" si="43"/>
        <v/>
      </c>
      <c r="N382" s="144" t="str">
        <f t="shared" si="44"/>
        <v/>
      </c>
    </row>
    <row r="383" spans="1:14">
      <c r="A383" s="147"/>
      <c r="B383" s="147"/>
      <c r="C383" s="153"/>
      <c r="D383" s="148"/>
      <c r="E383" s="153"/>
      <c r="F383" s="148"/>
      <c r="G383" s="159"/>
      <c r="H383" s="148" t="str">
        <f t="shared" si="47"/>
        <v/>
      </c>
      <c r="I383" s="156"/>
      <c r="J383" s="156"/>
      <c r="K383" s="156"/>
      <c r="M383" s="144" t="str">
        <f t="shared" si="43"/>
        <v/>
      </c>
      <c r="N383" s="144" t="str">
        <f t="shared" si="44"/>
        <v/>
      </c>
    </row>
    <row r="384" spans="1:14">
      <c r="A384" s="147"/>
      <c r="B384" s="147"/>
      <c r="C384" s="153"/>
      <c r="D384" s="148"/>
      <c r="E384" s="153"/>
      <c r="F384" s="148"/>
      <c r="G384" s="159"/>
      <c r="H384" s="148" t="str">
        <f t="shared" si="47"/>
        <v/>
      </c>
      <c r="I384" s="156"/>
      <c r="J384" s="156"/>
      <c r="K384" s="156"/>
      <c r="M384" s="144" t="str">
        <f t="shared" si="43"/>
        <v/>
      </c>
      <c r="N384" s="144" t="str">
        <f t="shared" si="44"/>
        <v/>
      </c>
    </row>
    <row r="385" spans="1:14">
      <c r="A385" s="147"/>
      <c r="B385" s="147"/>
      <c r="C385" s="153"/>
      <c r="D385" s="148"/>
      <c r="E385" s="153"/>
      <c r="F385" s="148"/>
      <c r="G385" s="159"/>
      <c r="H385" s="148" t="str">
        <f t="shared" si="47"/>
        <v/>
      </c>
      <c r="I385" s="156"/>
      <c r="J385" s="156"/>
      <c r="K385" s="156"/>
      <c r="M385" s="144" t="str">
        <f t="shared" si="43"/>
        <v/>
      </c>
      <c r="N385" s="144" t="str">
        <f t="shared" si="44"/>
        <v/>
      </c>
    </row>
    <row r="386" spans="1:14">
      <c r="A386" s="147"/>
      <c r="B386" s="147"/>
      <c r="C386" s="153"/>
      <c r="D386" s="148"/>
      <c r="E386" s="153"/>
      <c r="F386" s="148"/>
      <c r="G386" s="159"/>
      <c r="H386" s="148" t="str">
        <f t="shared" si="47"/>
        <v/>
      </c>
      <c r="I386" s="156"/>
      <c r="J386" s="156"/>
      <c r="K386" s="156"/>
      <c r="M386" s="144" t="str">
        <f t="shared" si="43"/>
        <v/>
      </c>
      <c r="N386" s="144" t="str">
        <f t="shared" si="44"/>
        <v/>
      </c>
    </row>
    <row r="387" spans="1:14">
      <c r="A387" s="147"/>
      <c r="B387" s="147"/>
      <c r="C387" s="153"/>
      <c r="D387" s="148"/>
      <c r="E387" s="153"/>
      <c r="F387" s="148"/>
      <c r="G387" s="159"/>
      <c r="H387" s="148" t="str">
        <f t="shared" si="47"/>
        <v/>
      </c>
      <c r="I387" s="156"/>
      <c r="J387" s="156"/>
      <c r="K387" s="156"/>
      <c r="M387" s="144" t="str">
        <f t="shared" si="43"/>
        <v/>
      </c>
      <c r="N387" s="144" t="str">
        <f t="shared" si="44"/>
        <v/>
      </c>
    </row>
    <row r="388" spans="1:14">
      <c r="A388" s="147"/>
      <c r="B388" s="147"/>
      <c r="C388" s="153"/>
      <c r="D388" s="148"/>
      <c r="E388" s="153"/>
      <c r="F388" s="148"/>
      <c r="G388" s="159"/>
      <c r="H388" s="148" t="str">
        <f t="shared" si="47"/>
        <v/>
      </c>
      <c r="I388" s="156"/>
      <c r="J388" s="156"/>
      <c r="K388" s="156"/>
      <c r="M388" s="144" t="str">
        <f t="shared" ref="M388:M451" si="48">LEFT(E388,3)</f>
        <v/>
      </c>
      <c r="N388" s="144" t="str">
        <f t="shared" ref="N388:N451" si="49">LEFT(E388,2)</f>
        <v/>
      </c>
    </row>
    <row r="389" spans="1:14">
      <c r="A389" s="147"/>
      <c r="B389" s="147"/>
      <c r="C389" s="153"/>
      <c r="D389" s="148"/>
      <c r="E389" s="153"/>
      <c r="F389" s="148"/>
      <c r="G389" s="159"/>
      <c r="H389" s="148" t="str">
        <f t="shared" si="47"/>
        <v/>
      </c>
      <c r="I389" s="156"/>
      <c r="J389" s="156"/>
      <c r="K389" s="156"/>
      <c r="M389" s="144" t="str">
        <f t="shared" si="48"/>
        <v/>
      </c>
      <c r="N389" s="144" t="str">
        <f t="shared" si="49"/>
        <v/>
      </c>
    </row>
    <row r="390" spans="1:14">
      <c r="A390" s="147"/>
      <c r="B390" s="147"/>
      <c r="C390" s="153"/>
      <c r="D390" s="148"/>
      <c r="E390" s="153"/>
      <c r="F390" s="148"/>
      <c r="G390" s="159"/>
      <c r="H390" s="148" t="str">
        <f t="shared" si="47"/>
        <v/>
      </c>
      <c r="I390" s="156"/>
      <c r="J390" s="156"/>
      <c r="K390" s="156"/>
      <c r="M390" s="144" t="str">
        <f t="shared" si="48"/>
        <v/>
      </c>
      <c r="N390" s="144" t="str">
        <f t="shared" si="49"/>
        <v/>
      </c>
    </row>
    <row r="391" spans="1:14">
      <c r="A391" s="147"/>
      <c r="B391" s="147"/>
      <c r="C391" s="153"/>
      <c r="D391" s="148"/>
      <c r="E391" s="153"/>
      <c r="F391" s="148"/>
      <c r="G391" s="159"/>
      <c r="H391" s="148" t="str">
        <f t="shared" si="47"/>
        <v/>
      </c>
      <c r="I391" s="156"/>
      <c r="J391" s="156"/>
      <c r="K391" s="156"/>
      <c r="M391" s="144" t="str">
        <f t="shared" si="48"/>
        <v/>
      </c>
      <c r="N391" s="144" t="str">
        <f t="shared" si="49"/>
        <v/>
      </c>
    </row>
    <row r="392" spans="1:14">
      <c r="A392" s="147"/>
      <c r="B392" s="147"/>
      <c r="C392" s="153"/>
      <c r="D392" s="148"/>
      <c r="E392" s="153"/>
      <c r="F392" s="148"/>
      <c r="G392" s="159"/>
      <c r="H392" s="148" t="str">
        <f t="shared" si="47"/>
        <v/>
      </c>
      <c r="I392" s="156"/>
      <c r="J392" s="156"/>
      <c r="K392" s="156"/>
      <c r="M392" s="144" t="str">
        <f t="shared" si="48"/>
        <v/>
      </c>
      <c r="N392" s="144" t="str">
        <f t="shared" si="49"/>
        <v/>
      </c>
    </row>
    <row r="393" spans="1:14">
      <c r="A393" s="147"/>
      <c r="B393" s="147"/>
      <c r="C393" s="153"/>
      <c r="D393" s="148"/>
      <c r="E393" s="153"/>
      <c r="F393" s="148"/>
      <c r="G393" s="159"/>
      <c r="H393" s="148" t="str">
        <f t="shared" si="47"/>
        <v/>
      </c>
      <c r="I393" s="156"/>
      <c r="J393" s="156"/>
      <c r="K393" s="156"/>
      <c r="M393" s="144" t="str">
        <f t="shared" si="48"/>
        <v/>
      </c>
      <c r="N393" s="144" t="str">
        <f t="shared" si="49"/>
        <v/>
      </c>
    </row>
    <row r="394" spans="1:14">
      <c r="A394" s="147"/>
      <c r="B394" s="147"/>
      <c r="C394" s="153"/>
      <c r="D394" s="148"/>
      <c r="E394" s="153"/>
      <c r="F394" s="148"/>
      <c r="G394" s="159"/>
      <c r="H394" s="148" t="str">
        <f t="shared" si="47"/>
        <v/>
      </c>
      <c r="I394" s="156"/>
      <c r="J394" s="156"/>
      <c r="K394" s="156"/>
      <c r="M394" s="144" t="str">
        <f t="shared" si="48"/>
        <v/>
      </c>
      <c r="N394" s="144" t="str">
        <f t="shared" si="49"/>
        <v/>
      </c>
    </row>
    <row r="395" spans="1:14">
      <c r="A395" s="147"/>
      <c r="B395" s="147"/>
      <c r="C395" s="153"/>
      <c r="D395" s="148"/>
      <c r="E395" s="153"/>
      <c r="F395" s="148"/>
      <c r="G395" s="159"/>
      <c r="H395" s="148" t="str">
        <f t="shared" si="47"/>
        <v/>
      </c>
      <c r="I395" s="156"/>
      <c r="J395" s="156"/>
      <c r="K395" s="156"/>
      <c r="M395" s="144" t="str">
        <f t="shared" si="48"/>
        <v/>
      </c>
      <c r="N395" s="144" t="str">
        <f t="shared" si="49"/>
        <v/>
      </c>
    </row>
    <row r="396" spans="1:14">
      <c r="A396" s="147"/>
      <c r="B396" s="147"/>
      <c r="C396" s="153"/>
      <c r="D396" s="148"/>
      <c r="E396" s="153"/>
      <c r="F396" s="148"/>
      <c r="G396" s="159"/>
      <c r="H396" s="148" t="str">
        <f t="shared" si="47"/>
        <v/>
      </c>
      <c r="I396" s="156"/>
      <c r="J396" s="156"/>
      <c r="K396" s="156"/>
      <c r="M396" s="144" t="str">
        <f t="shared" si="48"/>
        <v/>
      </c>
      <c r="N396" s="144" t="str">
        <f t="shared" si="49"/>
        <v/>
      </c>
    </row>
    <row r="397" spans="1:14">
      <c r="A397" s="147"/>
      <c r="B397" s="147"/>
      <c r="C397" s="153"/>
      <c r="D397" s="148"/>
      <c r="E397" s="153"/>
      <c r="F397" s="148"/>
      <c r="G397" s="159"/>
      <c r="H397" s="148" t="str">
        <f t="shared" si="47"/>
        <v/>
      </c>
      <c r="I397" s="156"/>
      <c r="J397" s="156"/>
      <c r="K397" s="156"/>
      <c r="M397" s="144" t="str">
        <f t="shared" si="48"/>
        <v/>
      </c>
      <c r="N397" s="144" t="str">
        <f t="shared" si="49"/>
        <v/>
      </c>
    </row>
    <row r="398" spans="1:14">
      <c r="A398" s="147"/>
      <c r="B398" s="147"/>
      <c r="C398" s="153"/>
      <c r="D398" s="148"/>
      <c r="E398" s="153"/>
      <c r="F398" s="148"/>
      <c r="G398" s="159"/>
      <c r="H398" s="148" t="str">
        <f t="shared" si="47"/>
        <v/>
      </c>
      <c r="I398" s="156"/>
      <c r="J398" s="156"/>
      <c r="K398" s="156"/>
      <c r="M398" s="144" t="str">
        <f t="shared" si="48"/>
        <v/>
      </c>
      <c r="N398" s="144" t="str">
        <f t="shared" si="49"/>
        <v/>
      </c>
    </row>
    <row r="399" spans="1:14">
      <c r="A399" s="147"/>
      <c r="B399" s="147"/>
      <c r="C399" s="153"/>
      <c r="D399" s="148"/>
      <c r="E399" s="153"/>
      <c r="F399" s="148"/>
      <c r="G399" s="159"/>
      <c r="H399" s="148" t="str">
        <f t="shared" si="47"/>
        <v/>
      </c>
      <c r="I399" s="156"/>
      <c r="J399" s="156"/>
      <c r="K399" s="156"/>
      <c r="M399" s="144" t="str">
        <f t="shared" si="48"/>
        <v/>
      </c>
      <c r="N399" s="144" t="str">
        <f t="shared" si="49"/>
        <v/>
      </c>
    </row>
    <row r="400" spans="1:14">
      <c r="A400" s="147"/>
      <c r="B400" s="147"/>
      <c r="C400" s="153"/>
      <c r="D400" s="148"/>
      <c r="E400" s="153"/>
      <c r="F400" s="148"/>
      <c r="G400" s="159"/>
      <c r="H400" s="148" t="str">
        <f t="shared" si="47"/>
        <v/>
      </c>
      <c r="I400" s="156"/>
      <c r="J400" s="156"/>
      <c r="K400" s="156"/>
      <c r="M400" s="144" t="str">
        <f t="shared" si="48"/>
        <v/>
      </c>
      <c r="N400" s="144" t="str">
        <f t="shared" si="49"/>
        <v/>
      </c>
    </row>
    <row r="401" spans="1:14">
      <c r="A401" s="147"/>
      <c r="B401" s="147"/>
      <c r="C401" s="153"/>
      <c r="D401" s="148"/>
      <c r="E401" s="153"/>
      <c r="F401" s="148"/>
      <c r="G401" s="159"/>
      <c r="H401" s="148" t="str">
        <f t="shared" si="47"/>
        <v/>
      </c>
      <c r="I401" s="156"/>
      <c r="J401" s="156"/>
      <c r="K401" s="156"/>
      <c r="M401" s="144" t="str">
        <f t="shared" si="48"/>
        <v/>
      </c>
      <c r="N401" s="144" t="str">
        <f t="shared" si="49"/>
        <v/>
      </c>
    </row>
    <row r="402" spans="1:14">
      <c r="A402" s="147"/>
      <c r="B402" s="147"/>
      <c r="C402" s="153"/>
      <c r="D402" s="148"/>
      <c r="E402" s="153"/>
      <c r="F402" s="148"/>
      <c r="G402" s="159"/>
      <c r="H402" s="148" t="str">
        <f t="shared" si="47"/>
        <v/>
      </c>
      <c r="I402" s="156"/>
      <c r="J402" s="156"/>
      <c r="K402" s="156"/>
      <c r="M402" s="144" t="str">
        <f t="shared" si="48"/>
        <v/>
      </c>
      <c r="N402" s="144" t="str">
        <f t="shared" si="49"/>
        <v/>
      </c>
    </row>
    <row r="403" spans="1:14">
      <c r="A403" s="147"/>
      <c r="B403" s="147"/>
      <c r="C403" s="153"/>
      <c r="D403" s="148"/>
      <c r="E403" s="153"/>
      <c r="F403" s="148"/>
      <c r="G403" s="159"/>
      <c r="H403" s="148" t="str">
        <f t="shared" si="47"/>
        <v/>
      </c>
      <c r="I403" s="156"/>
      <c r="J403" s="156"/>
      <c r="K403" s="156"/>
      <c r="M403" s="144" t="str">
        <f t="shared" si="48"/>
        <v/>
      </c>
      <c r="N403" s="144" t="str">
        <f t="shared" si="49"/>
        <v/>
      </c>
    </row>
    <row r="404" spans="1:14">
      <c r="A404" s="147"/>
      <c r="B404" s="147"/>
      <c r="C404" s="153"/>
      <c r="D404" s="148"/>
      <c r="E404" s="153"/>
      <c r="F404" s="148"/>
      <c r="G404" s="159"/>
      <c r="H404" s="148" t="str">
        <f t="shared" ref="H404:H435" si="50">IFERROR(VLOOKUP(G404,$X$6:$Y$50,2,FALSE),"")</f>
        <v/>
      </c>
      <c r="I404" s="156"/>
      <c r="J404" s="156"/>
      <c r="K404" s="156"/>
      <c r="M404" s="144" t="str">
        <f t="shared" si="48"/>
        <v/>
      </c>
      <c r="N404" s="144" t="str">
        <f t="shared" si="49"/>
        <v/>
      </c>
    </row>
    <row r="405" spans="1:14">
      <c r="A405" s="147"/>
      <c r="B405" s="147"/>
      <c r="C405" s="153"/>
      <c r="D405" s="148"/>
      <c r="E405" s="153"/>
      <c r="F405" s="148"/>
      <c r="G405" s="159"/>
      <c r="H405" s="148" t="str">
        <f t="shared" si="50"/>
        <v/>
      </c>
      <c r="I405" s="156"/>
      <c r="J405" s="156"/>
      <c r="K405" s="156"/>
      <c r="M405" s="144" t="str">
        <f t="shared" si="48"/>
        <v/>
      </c>
      <c r="N405" s="144" t="str">
        <f t="shared" si="49"/>
        <v/>
      </c>
    </row>
    <row r="406" spans="1:14">
      <c r="A406" s="147"/>
      <c r="B406" s="147"/>
      <c r="C406" s="153"/>
      <c r="D406" s="148"/>
      <c r="E406" s="153"/>
      <c r="F406" s="148"/>
      <c r="G406" s="159"/>
      <c r="H406" s="148" t="str">
        <f t="shared" si="50"/>
        <v/>
      </c>
      <c r="I406" s="156"/>
      <c r="J406" s="156"/>
      <c r="K406" s="156"/>
      <c r="M406" s="144" t="str">
        <f t="shared" si="48"/>
        <v/>
      </c>
      <c r="N406" s="144" t="str">
        <f t="shared" si="49"/>
        <v/>
      </c>
    </row>
    <row r="407" spans="1:14">
      <c r="A407" s="147"/>
      <c r="B407" s="147"/>
      <c r="C407" s="153"/>
      <c r="D407" s="148"/>
      <c r="E407" s="153"/>
      <c r="F407" s="148"/>
      <c r="G407" s="159"/>
      <c r="H407" s="148" t="str">
        <f t="shared" si="50"/>
        <v/>
      </c>
      <c r="I407" s="156"/>
      <c r="J407" s="156"/>
      <c r="K407" s="156"/>
      <c r="M407" s="144" t="str">
        <f t="shared" si="48"/>
        <v/>
      </c>
      <c r="N407" s="144" t="str">
        <f t="shared" si="49"/>
        <v/>
      </c>
    </row>
    <row r="408" spans="1:14">
      <c r="A408" s="147"/>
      <c r="B408" s="147"/>
      <c r="C408" s="153"/>
      <c r="D408" s="148"/>
      <c r="E408" s="153"/>
      <c r="F408" s="148"/>
      <c r="G408" s="159"/>
      <c r="H408" s="148" t="str">
        <f t="shared" si="50"/>
        <v/>
      </c>
      <c r="I408" s="156"/>
      <c r="J408" s="156"/>
      <c r="K408" s="156"/>
      <c r="M408" s="144" t="str">
        <f t="shared" si="48"/>
        <v/>
      </c>
      <c r="N408" s="144" t="str">
        <f t="shared" si="49"/>
        <v/>
      </c>
    </row>
    <row r="409" spans="1:14">
      <c r="A409" s="147"/>
      <c r="B409" s="147"/>
      <c r="C409" s="153"/>
      <c r="D409" s="148"/>
      <c r="E409" s="153"/>
      <c r="F409" s="148"/>
      <c r="G409" s="159"/>
      <c r="H409" s="148" t="str">
        <f t="shared" si="50"/>
        <v/>
      </c>
      <c r="I409" s="156"/>
      <c r="J409" s="156"/>
      <c r="K409" s="156"/>
      <c r="M409" s="144" t="str">
        <f t="shared" si="48"/>
        <v/>
      </c>
      <c r="N409" s="144" t="str">
        <f t="shared" si="49"/>
        <v/>
      </c>
    </row>
    <row r="410" spans="1:14">
      <c r="A410" s="147"/>
      <c r="B410" s="147"/>
      <c r="C410" s="153"/>
      <c r="D410" s="148"/>
      <c r="E410" s="153"/>
      <c r="F410" s="148"/>
      <c r="G410" s="159"/>
      <c r="H410" s="148" t="str">
        <f t="shared" si="50"/>
        <v/>
      </c>
      <c r="I410" s="156"/>
      <c r="J410" s="156"/>
      <c r="K410" s="156"/>
      <c r="M410" s="144" t="str">
        <f t="shared" si="48"/>
        <v/>
      </c>
      <c r="N410" s="144" t="str">
        <f t="shared" si="49"/>
        <v/>
      </c>
    </row>
    <row r="411" spans="1:14">
      <c r="A411" s="147"/>
      <c r="B411" s="147"/>
      <c r="C411" s="153"/>
      <c r="D411" s="148"/>
      <c r="E411" s="153"/>
      <c r="F411" s="148"/>
      <c r="G411" s="159"/>
      <c r="H411" s="148" t="str">
        <f t="shared" si="50"/>
        <v/>
      </c>
      <c r="I411" s="156"/>
      <c r="J411" s="156"/>
      <c r="K411" s="156"/>
      <c r="M411" s="144" t="str">
        <f t="shared" si="48"/>
        <v/>
      </c>
      <c r="N411" s="144" t="str">
        <f t="shared" si="49"/>
        <v/>
      </c>
    </row>
    <row r="412" spans="1:14">
      <c r="A412" s="147"/>
      <c r="B412" s="147"/>
      <c r="C412" s="153"/>
      <c r="D412" s="148"/>
      <c r="E412" s="153"/>
      <c r="F412" s="148"/>
      <c r="G412" s="159"/>
      <c r="H412" s="148" t="str">
        <f t="shared" si="50"/>
        <v/>
      </c>
      <c r="I412" s="156"/>
      <c r="J412" s="156"/>
      <c r="K412" s="156"/>
      <c r="M412" s="144" t="str">
        <f t="shared" si="48"/>
        <v/>
      </c>
      <c r="N412" s="144" t="str">
        <f t="shared" si="49"/>
        <v/>
      </c>
    </row>
    <row r="413" spans="1:14">
      <c r="A413" s="147"/>
      <c r="B413" s="147"/>
      <c r="C413" s="153"/>
      <c r="D413" s="148"/>
      <c r="E413" s="153"/>
      <c r="F413" s="148"/>
      <c r="G413" s="159"/>
      <c r="H413" s="148" t="str">
        <f t="shared" si="50"/>
        <v/>
      </c>
      <c r="I413" s="156"/>
      <c r="J413" s="156"/>
      <c r="K413" s="156"/>
      <c r="M413" s="144" t="str">
        <f t="shared" si="48"/>
        <v/>
      </c>
      <c r="N413" s="144" t="str">
        <f t="shared" si="49"/>
        <v/>
      </c>
    </row>
    <row r="414" spans="1:14">
      <c r="A414" s="147"/>
      <c r="B414" s="147"/>
      <c r="C414" s="153"/>
      <c r="D414" s="148"/>
      <c r="E414" s="153"/>
      <c r="F414" s="148"/>
      <c r="G414" s="159"/>
      <c r="H414" s="148" t="str">
        <f t="shared" si="50"/>
        <v/>
      </c>
      <c r="I414" s="156"/>
      <c r="J414" s="156"/>
      <c r="K414" s="156"/>
      <c r="M414" s="144" t="str">
        <f t="shared" si="48"/>
        <v/>
      </c>
      <c r="N414" s="144" t="str">
        <f t="shared" si="49"/>
        <v/>
      </c>
    </row>
    <row r="415" spans="1:14">
      <c r="A415" s="147"/>
      <c r="B415" s="147"/>
      <c r="C415" s="153"/>
      <c r="D415" s="148"/>
      <c r="E415" s="153"/>
      <c r="F415" s="148"/>
      <c r="G415" s="159"/>
      <c r="H415" s="148" t="str">
        <f t="shared" si="50"/>
        <v/>
      </c>
      <c r="I415" s="156"/>
      <c r="J415" s="156"/>
      <c r="K415" s="156"/>
      <c r="M415" s="144" t="str">
        <f t="shared" si="48"/>
        <v/>
      </c>
      <c r="N415" s="144" t="str">
        <f t="shared" si="49"/>
        <v/>
      </c>
    </row>
    <row r="416" spans="1:14">
      <c r="A416" s="147"/>
      <c r="B416" s="147"/>
      <c r="C416" s="153"/>
      <c r="D416" s="148"/>
      <c r="E416" s="153"/>
      <c r="F416" s="148"/>
      <c r="G416" s="159"/>
      <c r="H416" s="148" t="str">
        <f t="shared" si="50"/>
        <v/>
      </c>
      <c r="I416" s="156"/>
      <c r="J416" s="156"/>
      <c r="K416" s="156"/>
      <c r="M416" s="144" t="str">
        <f t="shared" si="48"/>
        <v/>
      </c>
      <c r="N416" s="144" t="str">
        <f t="shared" si="49"/>
        <v/>
      </c>
    </row>
    <row r="417" spans="1:14">
      <c r="A417" s="147"/>
      <c r="B417" s="147"/>
      <c r="C417" s="153"/>
      <c r="D417" s="148"/>
      <c r="E417" s="153"/>
      <c r="F417" s="148"/>
      <c r="G417" s="159"/>
      <c r="H417" s="148" t="str">
        <f t="shared" si="50"/>
        <v/>
      </c>
      <c r="I417" s="156"/>
      <c r="J417" s="156"/>
      <c r="K417" s="156"/>
      <c r="M417" s="144" t="str">
        <f t="shared" si="48"/>
        <v/>
      </c>
      <c r="N417" s="144" t="str">
        <f t="shared" si="49"/>
        <v/>
      </c>
    </row>
    <row r="418" spans="1:14">
      <c r="A418" s="147"/>
      <c r="B418" s="147"/>
      <c r="C418" s="153"/>
      <c r="D418" s="148"/>
      <c r="E418" s="153"/>
      <c r="F418" s="148"/>
      <c r="G418" s="159"/>
      <c r="H418" s="148" t="str">
        <f t="shared" si="50"/>
        <v/>
      </c>
      <c r="I418" s="156"/>
      <c r="J418" s="156"/>
      <c r="K418" s="156"/>
      <c r="M418" s="144" t="str">
        <f t="shared" si="48"/>
        <v/>
      </c>
      <c r="N418" s="144" t="str">
        <f t="shared" si="49"/>
        <v/>
      </c>
    </row>
    <row r="419" spans="1:14">
      <c r="A419" s="147"/>
      <c r="B419" s="147"/>
      <c r="C419" s="153"/>
      <c r="D419" s="148"/>
      <c r="E419" s="153"/>
      <c r="F419" s="148"/>
      <c r="G419" s="159"/>
      <c r="H419" s="148" t="str">
        <f t="shared" si="50"/>
        <v/>
      </c>
      <c r="I419" s="156"/>
      <c r="J419" s="156"/>
      <c r="K419" s="156"/>
      <c r="M419" s="144" t="str">
        <f t="shared" si="48"/>
        <v/>
      </c>
      <c r="N419" s="144" t="str">
        <f t="shared" si="49"/>
        <v/>
      </c>
    </row>
    <row r="420" spans="1:14">
      <c r="A420" s="147"/>
      <c r="B420" s="147"/>
      <c r="C420" s="153"/>
      <c r="D420" s="148"/>
      <c r="E420" s="153"/>
      <c r="F420" s="148"/>
      <c r="G420" s="159"/>
      <c r="H420" s="148" t="str">
        <f t="shared" si="50"/>
        <v/>
      </c>
      <c r="I420" s="156"/>
      <c r="J420" s="156"/>
      <c r="K420" s="156"/>
      <c r="M420" s="144" t="str">
        <f t="shared" si="48"/>
        <v/>
      </c>
      <c r="N420" s="144" t="str">
        <f t="shared" si="49"/>
        <v/>
      </c>
    </row>
    <row r="421" spans="1:14">
      <c r="A421" s="147"/>
      <c r="B421" s="147"/>
      <c r="C421" s="153"/>
      <c r="D421" s="148"/>
      <c r="E421" s="153"/>
      <c r="F421" s="148"/>
      <c r="G421" s="159"/>
      <c r="H421" s="148" t="str">
        <f t="shared" si="50"/>
        <v/>
      </c>
      <c r="I421" s="156"/>
      <c r="J421" s="156"/>
      <c r="K421" s="156"/>
      <c r="M421" s="144" t="str">
        <f t="shared" si="48"/>
        <v/>
      </c>
      <c r="N421" s="144" t="str">
        <f t="shared" si="49"/>
        <v/>
      </c>
    </row>
    <row r="422" spans="1:14">
      <c r="A422" s="147"/>
      <c r="B422" s="147"/>
      <c r="C422" s="153"/>
      <c r="D422" s="148"/>
      <c r="E422" s="153"/>
      <c r="F422" s="148"/>
      <c r="G422" s="159"/>
      <c r="H422" s="148" t="str">
        <f t="shared" si="50"/>
        <v/>
      </c>
      <c r="I422" s="156"/>
      <c r="J422" s="156"/>
      <c r="K422" s="156"/>
      <c r="M422" s="144" t="str">
        <f t="shared" si="48"/>
        <v/>
      </c>
      <c r="N422" s="144" t="str">
        <f t="shared" si="49"/>
        <v/>
      </c>
    </row>
    <row r="423" spans="1:14">
      <c r="A423" s="147"/>
      <c r="B423" s="147"/>
      <c r="C423" s="153"/>
      <c r="D423" s="148"/>
      <c r="E423" s="153"/>
      <c r="F423" s="148"/>
      <c r="G423" s="159"/>
      <c r="H423" s="148" t="str">
        <f t="shared" si="50"/>
        <v/>
      </c>
      <c r="I423" s="156"/>
      <c r="J423" s="156"/>
      <c r="K423" s="156"/>
      <c r="M423" s="144" t="str">
        <f t="shared" si="48"/>
        <v/>
      </c>
      <c r="N423" s="144" t="str">
        <f t="shared" si="49"/>
        <v/>
      </c>
    </row>
    <row r="424" spans="1:14">
      <c r="A424" s="147"/>
      <c r="B424" s="147"/>
      <c r="C424" s="153"/>
      <c r="D424" s="148"/>
      <c r="E424" s="153"/>
      <c r="F424" s="148"/>
      <c r="G424" s="159"/>
      <c r="H424" s="148" t="str">
        <f t="shared" si="50"/>
        <v/>
      </c>
      <c r="I424" s="156"/>
      <c r="J424" s="156"/>
      <c r="K424" s="156"/>
      <c r="M424" s="144" t="str">
        <f t="shared" si="48"/>
        <v/>
      </c>
      <c r="N424" s="144" t="str">
        <f t="shared" si="49"/>
        <v/>
      </c>
    </row>
    <row r="425" spans="1:14">
      <c r="A425" s="147"/>
      <c r="B425" s="147"/>
      <c r="C425" s="153"/>
      <c r="D425" s="148"/>
      <c r="E425" s="153"/>
      <c r="F425" s="148"/>
      <c r="G425" s="159"/>
      <c r="H425" s="148" t="str">
        <f t="shared" si="50"/>
        <v/>
      </c>
      <c r="I425" s="156"/>
      <c r="J425" s="156"/>
      <c r="K425" s="156"/>
      <c r="M425" s="144" t="str">
        <f t="shared" si="48"/>
        <v/>
      </c>
      <c r="N425" s="144" t="str">
        <f t="shared" si="49"/>
        <v/>
      </c>
    </row>
    <row r="426" spans="1:14">
      <c r="A426" s="147"/>
      <c r="B426" s="147"/>
      <c r="C426" s="153"/>
      <c r="D426" s="148"/>
      <c r="E426" s="153"/>
      <c r="F426" s="148"/>
      <c r="G426" s="159"/>
      <c r="H426" s="148" t="str">
        <f t="shared" si="50"/>
        <v/>
      </c>
      <c r="I426" s="156"/>
      <c r="J426" s="156"/>
      <c r="K426" s="156"/>
      <c r="M426" s="144" t="str">
        <f t="shared" si="48"/>
        <v/>
      </c>
      <c r="N426" s="144" t="str">
        <f t="shared" si="49"/>
        <v/>
      </c>
    </row>
    <row r="427" spans="1:14">
      <c r="A427" s="147"/>
      <c r="B427" s="147"/>
      <c r="C427" s="153"/>
      <c r="D427" s="148"/>
      <c r="E427" s="153"/>
      <c r="F427" s="148"/>
      <c r="G427" s="159"/>
      <c r="H427" s="148" t="str">
        <f t="shared" si="50"/>
        <v/>
      </c>
      <c r="I427" s="156"/>
      <c r="J427" s="156"/>
      <c r="K427" s="156"/>
      <c r="M427" s="144" t="str">
        <f t="shared" si="48"/>
        <v/>
      </c>
      <c r="N427" s="144" t="str">
        <f t="shared" si="49"/>
        <v/>
      </c>
    </row>
    <row r="428" spans="1:14">
      <c r="A428" s="147"/>
      <c r="B428" s="147"/>
      <c r="C428" s="153"/>
      <c r="D428" s="148"/>
      <c r="E428" s="153"/>
      <c r="F428" s="148"/>
      <c r="G428" s="159"/>
      <c r="H428" s="148" t="str">
        <f t="shared" si="50"/>
        <v/>
      </c>
      <c r="I428" s="156"/>
      <c r="J428" s="156"/>
      <c r="K428" s="156"/>
      <c r="M428" s="144" t="str">
        <f t="shared" si="48"/>
        <v/>
      </c>
      <c r="N428" s="144" t="str">
        <f t="shared" si="49"/>
        <v/>
      </c>
    </row>
    <row r="429" spans="1:14">
      <c r="A429" s="147"/>
      <c r="B429" s="147"/>
      <c r="C429" s="153"/>
      <c r="D429" s="148"/>
      <c r="E429" s="153"/>
      <c r="F429" s="148"/>
      <c r="G429" s="159"/>
      <c r="H429" s="148" t="str">
        <f t="shared" si="50"/>
        <v/>
      </c>
      <c r="I429" s="156"/>
      <c r="J429" s="156"/>
      <c r="K429" s="156"/>
      <c r="M429" s="144" t="str">
        <f t="shared" si="48"/>
        <v/>
      </c>
      <c r="N429" s="144" t="str">
        <f t="shared" si="49"/>
        <v/>
      </c>
    </row>
    <row r="430" spans="1:14">
      <c r="A430" s="147"/>
      <c r="B430" s="147"/>
      <c r="C430" s="153"/>
      <c r="D430" s="148"/>
      <c r="E430" s="153"/>
      <c r="F430" s="148"/>
      <c r="G430" s="159"/>
      <c r="H430" s="148" t="str">
        <f t="shared" si="50"/>
        <v/>
      </c>
      <c r="I430" s="156"/>
      <c r="J430" s="156"/>
      <c r="K430" s="156"/>
      <c r="M430" s="144" t="str">
        <f t="shared" si="48"/>
        <v/>
      </c>
      <c r="N430" s="144" t="str">
        <f t="shared" si="49"/>
        <v/>
      </c>
    </row>
    <row r="431" spans="1:14">
      <c r="A431" s="147"/>
      <c r="B431" s="147"/>
      <c r="C431" s="153"/>
      <c r="D431" s="148"/>
      <c r="E431" s="153"/>
      <c r="F431" s="148"/>
      <c r="G431" s="159"/>
      <c r="H431" s="148" t="str">
        <f t="shared" si="50"/>
        <v/>
      </c>
      <c r="I431" s="156"/>
      <c r="J431" s="156"/>
      <c r="K431" s="156"/>
      <c r="M431" s="144" t="str">
        <f t="shared" si="48"/>
        <v/>
      </c>
      <c r="N431" s="144" t="str">
        <f t="shared" si="49"/>
        <v/>
      </c>
    </row>
    <row r="432" spans="1:14">
      <c r="A432" s="147"/>
      <c r="B432" s="147"/>
      <c r="C432" s="153"/>
      <c r="D432" s="148"/>
      <c r="E432" s="153"/>
      <c r="F432" s="148"/>
      <c r="G432" s="159"/>
      <c r="H432" s="148" t="str">
        <f t="shared" si="50"/>
        <v/>
      </c>
      <c r="I432" s="156"/>
      <c r="J432" s="156"/>
      <c r="K432" s="156"/>
      <c r="M432" s="144" t="str">
        <f t="shared" si="48"/>
        <v/>
      </c>
      <c r="N432" s="144" t="str">
        <f t="shared" si="49"/>
        <v/>
      </c>
    </row>
    <row r="433" spans="1:14">
      <c r="A433" s="147"/>
      <c r="B433" s="147"/>
      <c r="C433" s="153"/>
      <c r="D433" s="148"/>
      <c r="E433" s="153"/>
      <c r="F433" s="148"/>
      <c r="G433" s="159"/>
      <c r="H433" s="148" t="str">
        <f t="shared" si="50"/>
        <v/>
      </c>
      <c r="I433" s="156"/>
      <c r="J433" s="156"/>
      <c r="K433" s="156"/>
      <c r="M433" s="144" t="str">
        <f t="shared" si="48"/>
        <v/>
      </c>
      <c r="N433" s="144" t="str">
        <f t="shared" si="49"/>
        <v/>
      </c>
    </row>
    <row r="434" spans="1:14">
      <c r="A434" s="147"/>
      <c r="B434" s="147"/>
      <c r="C434" s="153"/>
      <c r="D434" s="148"/>
      <c r="E434" s="153"/>
      <c r="F434" s="148"/>
      <c r="G434" s="159"/>
      <c r="H434" s="148" t="str">
        <f t="shared" si="50"/>
        <v/>
      </c>
      <c r="I434" s="156"/>
      <c r="J434" s="156"/>
      <c r="K434" s="156"/>
      <c r="M434" s="144" t="str">
        <f t="shared" si="48"/>
        <v/>
      </c>
      <c r="N434" s="144" t="str">
        <f t="shared" si="49"/>
        <v/>
      </c>
    </row>
    <row r="435" spans="1:14">
      <c r="A435" s="147"/>
      <c r="B435" s="147"/>
      <c r="C435" s="153"/>
      <c r="D435" s="148"/>
      <c r="E435" s="153"/>
      <c r="F435" s="148"/>
      <c r="G435" s="159"/>
      <c r="H435" s="148" t="str">
        <f t="shared" si="50"/>
        <v/>
      </c>
      <c r="I435" s="156"/>
      <c r="J435" s="156"/>
      <c r="K435" s="156"/>
      <c r="M435" s="144" t="str">
        <f t="shared" si="48"/>
        <v/>
      </c>
      <c r="N435" s="144" t="str">
        <f t="shared" si="49"/>
        <v/>
      </c>
    </row>
    <row r="436" spans="1:14">
      <c r="A436" s="147"/>
      <c r="B436" s="147"/>
      <c r="C436" s="153"/>
      <c r="D436" s="148"/>
      <c r="E436" s="153"/>
      <c r="F436" s="148"/>
      <c r="G436" s="159"/>
      <c r="H436" s="148" t="str">
        <f t="shared" ref="H436:H467" si="51">IFERROR(VLOOKUP(G436,$X$6:$Y$50,2,FALSE),"")</f>
        <v/>
      </c>
      <c r="I436" s="156"/>
      <c r="J436" s="156"/>
      <c r="K436" s="156"/>
      <c r="M436" s="144" t="str">
        <f t="shared" si="48"/>
        <v/>
      </c>
      <c r="N436" s="144" t="str">
        <f t="shared" si="49"/>
        <v/>
      </c>
    </row>
    <row r="437" spans="1:14">
      <c r="A437" s="147"/>
      <c r="B437" s="147"/>
      <c r="C437" s="153"/>
      <c r="D437" s="148"/>
      <c r="E437" s="153"/>
      <c r="F437" s="148"/>
      <c r="G437" s="159"/>
      <c r="H437" s="148" t="str">
        <f t="shared" si="51"/>
        <v/>
      </c>
      <c r="I437" s="156"/>
      <c r="J437" s="156"/>
      <c r="K437" s="156"/>
      <c r="M437" s="144" t="str">
        <f t="shared" si="48"/>
        <v/>
      </c>
      <c r="N437" s="144" t="str">
        <f t="shared" si="49"/>
        <v/>
      </c>
    </row>
    <row r="438" spans="1:14">
      <c r="A438" s="147"/>
      <c r="B438" s="147"/>
      <c r="C438" s="153"/>
      <c r="D438" s="148"/>
      <c r="E438" s="153"/>
      <c r="F438" s="148"/>
      <c r="G438" s="159"/>
      <c r="H438" s="148" t="str">
        <f t="shared" si="51"/>
        <v/>
      </c>
      <c r="I438" s="156"/>
      <c r="J438" s="156"/>
      <c r="K438" s="156"/>
      <c r="M438" s="144" t="str">
        <f t="shared" si="48"/>
        <v/>
      </c>
      <c r="N438" s="144" t="str">
        <f t="shared" si="49"/>
        <v/>
      </c>
    </row>
    <row r="439" spans="1:14">
      <c r="A439" s="147"/>
      <c r="B439" s="147"/>
      <c r="C439" s="153"/>
      <c r="D439" s="148"/>
      <c r="E439" s="153"/>
      <c r="F439" s="148"/>
      <c r="G439" s="159"/>
      <c r="H439" s="148" t="str">
        <f t="shared" si="51"/>
        <v/>
      </c>
      <c r="I439" s="156"/>
      <c r="J439" s="156"/>
      <c r="K439" s="156"/>
      <c r="M439" s="144" t="str">
        <f t="shared" si="48"/>
        <v/>
      </c>
      <c r="N439" s="144" t="str">
        <f t="shared" si="49"/>
        <v/>
      </c>
    </row>
    <row r="440" spans="1:14">
      <c r="A440" s="147"/>
      <c r="B440" s="147"/>
      <c r="C440" s="153"/>
      <c r="D440" s="148"/>
      <c r="E440" s="153"/>
      <c r="F440" s="148"/>
      <c r="G440" s="159"/>
      <c r="H440" s="148" t="str">
        <f t="shared" si="51"/>
        <v/>
      </c>
      <c r="I440" s="156"/>
      <c r="J440" s="156"/>
      <c r="K440" s="156"/>
      <c r="M440" s="144" t="str">
        <f t="shared" si="48"/>
        <v/>
      </c>
      <c r="N440" s="144" t="str">
        <f t="shared" si="49"/>
        <v/>
      </c>
    </row>
    <row r="441" spans="1:14">
      <c r="A441" s="147"/>
      <c r="B441" s="147"/>
      <c r="C441" s="153"/>
      <c r="D441" s="148"/>
      <c r="E441" s="153"/>
      <c r="F441" s="148"/>
      <c r="G441" s="159"/>
      <c r="H441" s="148" t="str">
        <f t="shared" si="51"/>
        <v/>
      </c>
      <c r="I441" s="156"/>
      <c r="J441" s="156"/>
      <c r="K441" s="156"/>
      <c r="M441" s="144" t="str">
        <f t="shared" si="48"/>
        <v/>
      </c>
      <c r="N441" s="144" t="str">
        <f t="shared" si="49"/>
        <v/>
      </c>
    </row>
    <row r="442" spans="1:14">
      <c r="A442" s="147"/>
      <c r="B442" s="147"/>
      <c r="C442" s="153"/>
      <c r="D442" s="148"/>
      <c r="E442" s="153"/>
      <c r="F442" s="148"/>
      <c r="G442" s="159"/>
      <c r="H442" s="148" t="str">
        <f t="shared" si="51"/>
        <v/>
      </c>
      <c r="I442" s="156"/>
      <c r="J442" s="156"/>
      <c r="K442" s="156"/>
      <c r="M442" s="144" t="str">
        <f t="shared" si="48"/>
        <v/>
      </c>
      <c r="N442" s="144" t="str">
        <f t="shared" si="49"/>
        <v/>
      </c>
    </row>
    <row r="443" spans="1:14">
      <c r="A443" s="147"/>
      <c r="B443" s="147"/>
      <c r="C443" s="153"/>
      <c r="D443" s="148"/>
      <c r="E443" s="153"/>
      <c r="F443" s="148"/>
      <c r="G443" s="159"/>
      <c r="H443" s="148" t="str">
        <f t="shared" si="51"/>
        <v/>
      </c>
      <c r="I443" s="156"/>
      <c r="J443" s="156"/>
      <c r="K443" s="156"/>
      <c r="M443" s="144" t="str">
        <f t="shared" si="48"/>
        <v/>
      </c>
      <c r="N443" s="144" t="str">
        <f t="shared" si="49"/>
        <v/>
      </c>
    </row>
    <row r="444" spans="1:14">
      <c r="A444" s="147"/>
      <c r="B444" s="147"/>
      <c r="C444" s="153"/>
      <c r="D444" s="148"/>
      <c r="E444" s="153"/>
      <c r="F444" s="148"/>
      <c r="G444" s="159"/>
      <c r="H444" s="148" t="str">
        <f t="shared" si="51"/>
        <v/>
      </c>
      <c r="I444" s="156"/>
      <c r="J444" s="156"/>
      <c r="K444" s="156"/>
      <c r="M444" s="144" t="str">
        <f t="shared" si="48"/>
        <v/>
      </c>
      <c r="N444" s="144" t="str">
        <f t="shared" si="49"/>
        <v/>
      </c>
    </row>
    <row r="445" spans="1:14">
      <c r="A445" s="147"/>
      <c r="B445" s="147"/>
      <c r="C445" s="153"/>
      <c r="D445" s="148"/>
      <c r="E445" s="153"/>
      <c r="F445" s="148"/>
      <c r="G445" s="159"/>
      <c r="H445" s="148" t="str">
        <f t="shared" si="51"/>
        <v/>
      </c>
      <c r="I445" s="156"/>
      <c r="J445" s="156"/>
      <c r="K445" s="156"/>
      <c r="M445" s="144" t="str">
        <f t="shared" si="48"/>
        <v/>
      </c>
      <c r="N445" s="144" t="str">
        <f t="shared" si="49"/>
        <v/>
      </c>
    </row>
    <row r="446" spans="1:14">
      <c r="A446" s="147"/>
      <c r="B446" s="147"/>
      <c r="C446" s="153"/>
      <c r="D446" s="148"/>
      <c r="E446" s="153"/>
      <c r="F446" s="148"/>
      <c r="G446" s="159"/>
      <c r="H446" s="148" t="str">
        <f t="shared" si="51"/>
        <v/>
      </c>
      <c r="I446" s="156"/>
      <c r="J446" s="156"/>
      <c r="K446" s="156"/>
      <c r="M446" s="144" t="str">
        <f t="shared" si="48"/>
        <v/>
      </c>
      <c r="N446" s="144" t="str">
        <f t="shared" si="49"/>
        <v/>
      </c>
    </row>
    <row r="447" spans="1:14">
      <c r="A447" s="147"/>
      <c r="B447" s="147"/>
      <c r="C447" s="153"/>
      <c r="D447" s="148"/>
      <c r="E447" s="153"/>
      <c r="F447" s="148"/>
      <c r="G447" s="159"/>
      <c r="H447" s="148" t="str">
        <f t="shared" si="51"/>
        <v/>
      </c>
      <c r="I447" s="156"/>
      <c r="J447" s="156"/>
      <c r="K447" s="156"/>
      <c r="M447" s="144" t="str">
        <f t="shared" si="48"/>
        <v/>
      </c>
      <c r="N447" s="144" t="str">
        <f t="shared" si="49"/>
        <v/>
      </c>
    </row>
    <row r="448" spans="1:14">
      <c r="A448" s="147"/>
      <c r="B448" s="147"/>
      <c r="C448" s="153"/>
      <c r="D448" s="148"/>
      <c r="E448" s="153"/>
      <c r="F448" s="148"/>
      <c r="G448" s="159"/>
      <c r="H448" s="148" t="str">
        <f t="shared" si="51"/>
        <v/>
      </c>
      <c r="I448" s="156"/>
      <c r="J448" s="156"/>
      <c r="K448" s="156"/>
      <c r="M448" s="144" t="str">
        <f t="shared" si="48"/>
        <v/>
      </c>
      <c r="N448" s="144" t="str">
        <f t="shared" si="49"/>
        <v/>
      </c>
    </row>
    <row r="449" spans="1:14">
      <c r="A449" s="147"/>
      <c r="B449" s="147"/>
      <c r="C449" s="153"/>
      <c r="D449" s="148"/>
      <c r="E449" s="153"/>
      <c r="F449" s="148"/>
      <c r="G449" s="159"/>
      <c r="H449" s="148" t="str">
        <f t="shared" si="51"/>
        <v/>
      </c>
      <c r="I449" s="156"/>
      <c r="J449" s="156"/>
      <c r="K449" s="156"/>
      <c r="M449" s="144" t="str">
        <f t="shared" si="48"/>
        <v/>
      </c>
      <c r="N449" s="144" t="str">
        <f t="shared" si="49"/>
        <v/>
      </c>
    </row>
    <row r="450" spans="1:14">
      <c r="A450" s="147"/>
      <c r="B450" s="147"/>
      <c r="C450" s="153"/>
      <c r="D450" s="148"/>
      <c r="E450" s="153"/>
      <c r="F450" s="148"/>
      <c r="G450" s="159"/>
      <c r="H450" s="148" t="str">
        <f t="shared" si="51"/>
        <v/>
      </c>
      <c r="I450" s="156"/>
      <c r="J450" s="156"/>
      <c r="K450" s="156"/>
      <c r="M450" s="144" t="str">
        <f t="shared" si="48"/>
        <v/>
      </c>
      <c r="N450" s="144" t="str">
        <f t="shared" si="49"/>
        <v/>
      </c>
    </row>
    <row r="451" spans="1:14">
      <c r="A451" s="147"/>
      <c r="B451" s="147"/>
      <c r="C451" s="153"/>
      <c r="D451" s="148"/>
      <c r="E451" s="153"/>
      <c r="F451" s="148"/>
      <c r="G451" s="159"/>
      <c r="H451" s="148" t="str">
        <f t="shared" si="51"/>
        <v/>
      </c>
      <c r="I451" s="156"/>
      <c r="J451" s="156"/>
      <c r="K451" s="156"/>
      <c r="M451" s="144" t="str">
        <f t="shared" si="48"/>
        <v/>
      </c>
      <c r="N451" s="144" t="str">
        <f t="shared" si="49"/>
        <v/>
      </c>
    </row>
    <row r="452" spans="1:14">
      <c r="A452" s="147"/>
      <c r="B452" s="147"/>
      <c r="C452" s="153"/>
      <c r="D452" s="148"/>
      <c r="E452" s="153"/>
      <c r="F452" s="148"/>
      <c r="G452" s="159"/>
      <c r="H452" s="148" t="str">
        <f t="shared" si="51"/>
        <v/>
      </c>
      <c r="I452" s="156"/>
      <c r="J452" s="156"/>
      <c r="K452" s="156"/>
      <c r="M452" s="144" t="str">
        <f t="shared" ref="M452:M501" si="52">LEFT(E452,3)</f>
        <v/>
      </c>
      <c r="N452" s="144" t="str">
        <f t="shared" ref="N452:N501" si="53">LEFT(E452,2)</f>
        <v/>
      </c>
    </row>
    <row r="453" spans="1:14">
      <c r="A453" s="147"/>
      <c r="B453" s="147"/>
      <c r="C453" s="153"/>
      <c r="D453" s="148"/>
      <c r="E453" s="153"/>
      <c r="F453" s="148"/>
      <c r="G453" s="159"/>
      <c r="H453" s="148" t="str">
        <f t="shared" si="51"/>
        <v/>
      </c>
      <c r="I453" s="156"/>
      <c r="J453" s="156"/>
      <c r="K453" s="156"/>
      <c r="M453" s="144" t="str">
        <f t="shared" si="52"/>
        <v/>
      </c>
      <c r="N453" s="144" t="str">
        <f t="shared" si="53"/>
        <v/>
      </c>
    </row>
    <row r="454" spans="1:14">
      <c r="A454" s="147"/>
      <c r="B454" s="147"/>
      <c r="C454" s="153"/>
      <c r="D454" s="148"/>
      <c r="E454" s="153"/>
      <c r="F454" s="148"/>
      <c r="G454" s="159"/>
      <c r="H454" s="148" t="str">
        <f t="shared" si="51"/>
        <v/>
      </c>
      <c r="I454" s="156"/>
      <c r="J454" s="156"/>
      <c r="K454" s="156"/>
      <c r="M454" s="144" t="str">
        <f t="shared" si="52"/>
        <v/>
      </c>
      <c r="N454" s="144" t="str">
        <f t="shared" si="53"/>
        <v/>
      </c>
    </row>
    <row r="455" spans="1:14">
      <c r="A455" s="147"/>
      <c r="B455" s="147"/>
      <c r="C455" s="153"/>
      <c r="D455" s="148"/>
      <c r="E455" s="153"/>
      <c r="F455" s="148"/>
      <c r="G455" s="159"/>
      <c r="H455" s="148" t="str">
        <f t="shared" si="51"/>
        <v/>
      </c>
      <c r="I455" s="156"/>
      <c r="J455" s="156"/>
      <c r="K455" s="156"/>
      <c r="M455" s="144" t="str">
        <f t="shared" si="52"/>
        <v/>
      </c>
      <c r="N455" s="144" t="str">
        <f t="shared" si="53"/>
        <v/>
      </c>
    </row>
    <row r="456" spans="1:14">
      <c r="A456" s="147"/>
      <c r="B456" s="147"/>
      <c r="C456" s="153"/>
      <c r="D456" s="148"/>
      <c r="E456" s="153"/>
      <c r="F456" s="148"/>
      <c r="G456" s="159"/>
      <c r="H456" s="148" t="str">
        <f t="shared" si="51"/>
        <v/>
      </c>
      <c r="I456" s="156"/>
      <c r="J456" s="156"/>
      <c r="K456" s="156"/>
      <c r="M456" s="144" t="str">
        <f t="shared" si="52"/>
        <v/>
      </c>
      <c r="N456" s="144" t="str">
        <f t="shared" si="53"/>
        <v/>
      </c>
    </row>
    <row r="457" spans="1:14">
      <c r="A457" s="147"/>
      <c r="B457" s="147"/>
      <c r="C457" s="153"/>
      <c r="D457" s="148"/>
      <c r="E457" s="153"/>
      <c r="F457" s="148"/>
      <c r="G457" s="159"/>
      <c r="H457" s="148" t="str">
        <f t="shared" si="51"/>
        <v/>
      </c>
      <c r="I457" s="156"/>
      <c r="J457" s="156"/>
      <c r="K457" s="156"/>
      <c r="M457" s="144" t="str">
        <f t="shared" si="52"/>
        <v/>
      </c>
      <c r="N457" s="144" t="str">
        <f t="shared" si="53"/>
        <v/>
      </c>
    </row>
    <row r="458" spans="1:14">
      <c r="A458" s="147"/>
      <c r="B458" s="147"/>
      <c r="C458" s="153"/>
      <c r="D458" s="148"/>
      <c r="E458" s="153"/>
      <c r="F458" s="148"/>
      <c r="G458" s="159"/>
      <c r="H458" s="148" t="str">
        <f t="shared" si="51"/>
        <v/>
      </c>
      <c r="I458" s="156"/>
      <c r="J458" s="156"/>
      <c r="K458" s="156"/>
      <c r="M458" s="144" t="str">
        <f t="shared" si="52"/>
        <v/>
      </c>
      <c r="N458" s="144" t="str">
        <f t="shared" si="53"/>
        <v/>
      </c>
    </row>
    <row r="459" spans="1:14">
      <c r="A459" s="147"/>
      <c r="B459" s="147"/>
      <c r="C459" s="153"/>
      <c r="D459" s="148"/>
      <c r="E459" s="153"/>
      <c r="F459" s="148"/>
      <c r="G459" s="159"/>
      <c r="H459" s="148" t="str">
        <f t="shared" si="51"/>
        <v/>
      </c>
      <c r="I459" s="156"/>
      <c r="J459" s="156"/>
      <c r="K459" s="156"/>
      <c r="M459" s="144" t="str">
        <f t="shared" si="52"/>
        <v/>
      </c>
      <c r="N459" s="144" t="str">
        <f t="shared" si="53"/>
        <v/>
      </c>
    </row>
    <row r="460" spans="1:14">
      <c r="A460" s="147"/>
      <c r="B460" s="147"/>
      <c r="C460" s="153"/>
      <c r="D460" s="148"/>
      <c r="E460" s="153"/>
      <c r="F460" s="148"/>
      <c r="G460" s="159"/>
      <c r="H460" s="148" t="str">
        <f t="shared" si="51"/>
        <v/>
      </c>
      <c r="I460" s="156"/>
      <c r="J460" s="156"/>
      <c r="K460" s="156"/>
      <c r="M460" s="144" t="str">
        <f t="shared" si="52"/>
        <v/>
      </c>
      <c r="N460" s="144" t="str">
        <f t="shared" si="53"/>
        <v/>
      </c>
    </row>
    <row r="461" spans="1:14">
      <c r="A461" s="147"/>
      <c r="B461" s="147"/>
      <c r="C461" s="153"/>
      <c r="D461" s="148"/>
      <c r="E461" s="153"/>
      <c r="F461" s="148"/>
      <c r="G461" s="159"/>
      <c r="H461" s="148" t="str">
        <f t="shared" si="51"/>
        <v/>
      </c>
      <c r="I461" s="156"/>
      <c r="J461" s="156"/>
      <c r="K461" s="156"/>
      <c r="M461" s="144" t="str">
        <f t="shared" si="52"/>
        <v/>
      </c>
      <c r="N461" s="144" t="str">
        <f t="shared" si="53"/>
        <v/>
      </c>
    </row>
    <row r="462" spans="1:14">
      <c r="A462" s="147"/>
      <c r="B462" s="147"/>
      <c r="C462" s="153"/>
      <c r="D462" s="148"/>
      <c r="E462" s="153"/>
      <c r="F462" s="148"/>
      <c r="G462" s="159"/>
      <c r="H462" s="148" t="str">
        <f t="shared" si="51"/>
        <v/>
      </c>
      <c r="I462" s="156"/>
      <c r="J462" s="156"/>
      <c r="K462" s="156"/>
      <c r="M462" s="144" t="str">
        <f t="shared" si="52"/>
        <v/>
      </c>
      <c r="N462" s="144" t="str">
        <f t="shared" si="53"/>
        <v/>
      </c>
    </row>
    <row r="463" spans="1:14">
      <c r="A463" s="147"/>
      <c r="B463" s="147"/>
      <c r="C463" s="153"/>
      <c r="D463" s="148"/>
      <c r="E463" s="153"/>
      <c r="F463" s="148"/>
      <c r="G463" s="159"/>
      <c r="H463" s="148" t="str">
        <f t="shared" si="51"/>
        <v/>
      </c>
      <c r="I463" s="156"/>
      <c r="J463" s="156"/>
      <c r="K463" s="156"/>
      <c r="M463" s="144" t="str">
        <f t="shared" si="52"/>
        <v/>
      </c>
      <c r="N463" s="144" t="str">
        <f t="shared" si="53"/>
        <v/>
      </c>
    </row>
    <row r="464" spans="1:14">
      <c r="A464" s="147"/>
      <c r="B464" s="147"/>
      <c r="C464" s="153"/>
      <c r="D464" s="148"/>
      <c r="E464" s="153"/>
      <c r="F464" s="148"/>
      <c r="G464" s="159"/>
      <c r="H464" s="148" t="str">
        <f t="shared" si="51"/>
        <v/>
      </c>
      <c r="I464" s="156"/>
      <c r="J464" s="156"/>
      <c r="K464" s="156"/>
      <c r="M464" s="144" t="str">
        <f t="shared" si="52"/>
        <v/>
      </c>
      <c r="N464" s="144" t="str">
        <f t="shared" si="53"/>
        <v/>
      </c>
    </row>
    <row r="465" spans="1:14">
      <c r="A465" s="147"/>
      <c r="B465" s="147"/>
      <c r="C465" s="153"/>
      <c r="D465" s="148"/>
      <c r="E465" s="153"/>
      <c r="F465" s="148"/>
      <c r="G465" s="159"/>
      <c r="H465" s="148" t="str">
        <f t="shared" si="51"/>
        <v/>
      </c>
      <c r="I465" s="156"/>
      <c r="J465" s="156"/>
      <c r="K465" s="156"/>
      <c r="M465" s="144" t="str">
        <f t="shared" si="52"/>
        <v/>
      </c>
      <c r="N465" s="144" t="str">
        <f t="shared" si="53"/>
        <v/>
      </c>
    </row>
    <row r="466" spans="1:14">
      <c r="A466" s="147"/>
      <c r="B466" s="147"/>
      <c r="C466" s="153"/>
      <c r="D466" s="148"/>
      <c r="E466" s="153"/>
      <c r="F466" s="148"/>
      <c r="G466" s="159"/>
      <c r="H466" s="148" t="str">
        <f t="shared" si="51"/>
        <v/>
      </c>
      <c r="I466" s="156"/>
      <c r="J466" s="156"/>
      <c r="K466" s="156"/>
      <c r="M466" s="144" t="str">
        <f t="shared" si="52"/>
        <v/>
      </c>
      <c r="N466" s="144" t="str">
        <f t="shared" si="53"/>
        <v/>
      </c>
    </row>
    <row r="467" spans="1:14">
      <c r="A467" s="147"/>
      <c r="B467" s="147"/>
      <c r="C467" s="153"/>
      <c r="D467" s="148"/>
      <c r="E467" s="153"/>
      <c r="F467" s="148"/>
      <c r="G467" s="159"/>
      <c r="H467" s="148" t="str">
        <f t="shared" si="51"/>
        <v/>
      </c>
      <c r="I467" s="156"/>
      <c r="J467" s="156"/>
      <c r="K467" s="156"/>
      <c r="M467" s="144" t="str">
        <f t="shared" si="52"/>
        <v/>
      </c>
      <c r="N467" s="144" t="str">
        <f t="shared" si="53"/>
        <v/>
      </c>
    </row>
    <row r="468" spans="1:14">
      <c r="A468" s="147"/>
      <c r="B468" s="147"/>
      <c r="C468" s="153"/>
      <c r="D468" s="148"/>
      <c r="E468" s="153"/>
      <c r="F468" s="148"/>
      <c r="G468" s="159"/>
      <c r="H468" s="148" t="str">
        <f t="shared" ref="H468:H499" si="54">IFERROR(VLOOKUP(G468,$X$6:$Y$50,2,FALSE),"")</f>
        <v/>
      </c>
      <c r="I468" s="156"/>
      <c r="J468" s="156"/>
      <c r="K468" s="156"/>
      <c r="M468" s="144" t="str">
        <f t="shared" si="52"/>
        <v/>
      </c>
      <c r="N468" s="144" t="str">
        <f t="shared" si="53"/>
        <v/>
      </c>
    </row>
    <row r="469" spans="1:14">
      <c r="A469" s="147"/>
      <c r="B469" s="147"/>
      <c r="C469" s="153"/>
      <c r="D469" s="148"/>
      <c r="E469" s="153"/>
      <c r="F469" s="148"/>
      <c r="G469" s="159"/>
      <c r="H469" s="148" t="str">
        <f t="shared" si="54"/>
        <v/>
      </c>
      <c r="I469" s="156"/>
      <c r="J469" s="156"/>
      <c r="K469" s="156"/>
      <c r="M469" s="144" t="str">
        <f t="shared" si="52"/>
        <v/>
      </c>
      <c r="N469" s="144" t="str">
        <f t="shared" si="53"/>
        <v/>
      </c>
    </row>
    <row r="470" spans="1:14">
      <c r="A470" s="147"/>
      <c r="B470" s="147"/>
      <c r="C470" s="153"/>
      <c r="D470" s="148"/>
      <c r="E470" s="153"/>
      <c r="F470" s="148"/>
      <c r="G470" s="159"/>
      <c r="H470" s="148" t="str">
        <f t="shared" si="54"/>
        <v/>
      </c>
      <c r="I470" s="156"/>
      <c r="J470" s="156"/>
      <c r="K470" s="156"/>
      <c r="M470" s="144" t="str">
        <f t="shared" si="52"/>
        <v/>
      </c>
      <c r="N470" s="144" t="str">
        <f t="shared" si="53"/>
        <v/>
      </c>
    </row>
    <row r="471" spans="1:14">
      <c r="A471" s="147"/>
      <c r="B471" s="147"/>
      <c r="C471" s="153"/>
      <c r="D471" s="148"/>
      <c r="E471" s="153"/>
      <c r="F471" s="148"/>
      <c r="G471" s="159"/>
      <c r="H471" s="148" t="str">
        <f t="shared" si="54"/>
        <v/>
      </c>
      <c r="I471" s="156"/>
      <c r="J471" s="156"/>
      <c r="K471" s="156"/>
      <c r="M471" s="144" t="str">
        <f t="shared" si="52"/>
        <v/>
      </c>
      <c r="N471" s="144" t="str">
        <f t="shared" si="53"/>
        <v/>
      </c>
    </row>
    <row r="472" spans="1:14">
      <c r="A472" s="147"/>
      <c r="B472" s="147"/>
      <c r="C472" s="153"/>
      <c r="D472" s="148"/>
      <c r="E472" s="153"/>
      <c r="F472" s="148"/>
      <c r="G472" s="159"/>
      <c r="H472" s="148" t="str">
        <f t="shared" si="54"/>
        <v/>
      </c>
      <c r="I472" s="156"/>
      <c r="J472" s="156"/>
      <c r="K472" s="156"/>
      <c r="M472" s="144" t="str">
        <f t="shared" si="52"/>
        <v/>
      </c>
      <c r="N472" s="144" t="str">
        <f t="shared" si="53"/>
        <v/>
      </c>
    </row>
    <row r="473" spans="1:14">
      <c r="A473" s="147"/>
      <c r="B473" s="147"/>
      <c r="C473" s="153"/>
      <c r="D473" s="148"/>
      <c r="E473" s="153"/>
      <c r="F473" s="148"/>
      <c r="G473" s="159"/>
      <c r="H473" s="148" t="str">
        <f t="shared" si="54"/>
        <v/>
      </c>
      <c r="I473" s="156"/>
      <c r="J473" s="156"/>
      <c r="K473" s="156"/>
      <c r="M473" s="144" t="str">
        <f t="shared" si="52"/>
        <v/>
      </c>
      <c r="N473" s="144" t="str">
        <f t="shared" si="53"/>
        <v/>
      </c>
    </row>
    <row r="474" spans="1:14">
      <c r="A474" s="147"/>
      <c r="B474" s="147"/>
      <c r="C474" s="153"/>
      <c r="D474" s="148"/>
      <c r="E474" s="153"/>
      <c r="F474" s="148"/>
      <c r="G474" s="159"/>
      <c r="H474" s="148" t="str">
        <f t="shared" si="54"/>
        <v/>
      </c>
      <c r="I474" s="156"/>
      <c r="J474" s="156"/>
      <c r="K474" s="156"/>
      <c r="M474" s="144" t="str">
        <f t="shared" si="52"/>
        <v/>
      </c>
      <c r="N474" s="144" t="str">
        <f t="shared" si="53"/>
        <v/>
      </c>
    </row>
    <row r="475" spans="1:14">
      <c r="A475" s="147"/>
      <c r="B475" s="147"/>
      <c r="C475" s="153"/>
      <c r="D475" s="148"/>
      <c r="E475" s="153"/>
      <c r="F475" s="148"/>
      <c r="G475" s="159"/>
      <c r="H475" s="148" t="str">
        <f t="shared" si="54"/>
        <v/>
      </c>
      <c r="I475" s="156"/>
      <c r="J475" s="156"/>
      <c r="K475" s="156"/>
      <c r="M475" s="144" t="str">
        <f t="shared" si="52"/>
        <v/>
      </c>
      <c r="N475" s="144" t="str">
        <f t="shared" si="53"/>
        <v/>
      </c>
    </row>
    <row r="476" spans="1:14">
      <c r="A476" s="147"/>
      <c r="B476" s="147"/>
      <c r="C476" s="153"/>
      <c r="D476" s="148"/>
      <c r="E476" s="153"/>
      <c r="F476" s="148"/>
      <c r="G476" s="159"/>
      <c r="H476" s="148" t="str">
        <f t="shared" si="54"/>
        <v/>
      </c>
      <c r="I476" s="156"/>
      <c r="J476" s="156"/>
      <c r="K476" s="156"/>
      <c r="M476" s="144" t="str">
        <f t="shared" si="52"/>
        <v/>
      </c>
      <c r="N476" s="144" t="str">
        <f t="shared" si="53"/>
        <v/>
      </c>
    </row>
    <row r="477" spans="1:14">
      <c r="A477" s="147"/>
      <c r="B477" s="147"/>
      <c r="C477" s="153"/>
      <c r="D477" s="148"/>
      <c r="E477" s="153"/>
      <c r="F477" s="148"/>
      <c r="G477" s="159"/>
      <c r="H477" s="148" t="str">
        <f t="shared" si="54"/>
        <v/>
      </c>
      <c r="I477" s="156"/>
      <c r="J477" s="156"/>
      <c r="K477" s="156"/>
      <c r="M477" s="144" t="str">
        <f t="shared" si="52"/>
        <v/>
      </c>
      <c r="N477" s="144" t="str">
        <f t="shared" si="53"/>
        <v/>
      </c>
    </row>
    <row r="478" spans="1:14">
      <c r="A478" s="147"/>
      <c r="B478" s="147"/>
      <c r="C478" s="153"/>
      <c r="D478" s="148"/>
      <c r="E478" s="153"/>
      <c r="F478" s="148"/>
      <c r="G478" s="159"/>
      <c r="H478" s="148" t="str">
        <f t="shared" si="54"/>
        <v/>
      </c>
      <c r="I478" s="156"/>
      <c r="J478" s="156"/>
      <c r="K478" s="156"/>
      <c r="M478" s="144" t="str">
        <f t="shared" si="52"/>
        <v/>
      </c>
      <c r="N478" s="144" t="str">
        <f t="shared" si="53"/>
        <v/>
      </c>
    </row>
    <row r="479" spans="1:14">
      <c r="A479" s="147"/>
      <c r="B479" s="147"/>
      <c r="C479" s="153"/>
      <c r="D479" s="148"/>
      <c r="E479" s="153"/>
      <c r="F479" s="148"/>
      <c r="G479" s="159"/>
      <c r="H479" s="148" t="str">
        <f t="shared" si="54"/>
        <v/>
      </c>
      <c r="I479" s="156"/>
      <c r="J479" s="156"/>
      <c r="K479" s="156"/>
      <c r="M479" s="144" t="str">
        <f t="shared" si="52"/>
        <v/>
      </c>
      <c r="N479" s="144" t="str">
        <f t="shared" si="53"/>
        <v/>
      </c>
    </row>
    <row r="480" spans="1:14">
      <c r="A480" s="147"/>
      <c r="B480" s="147"/>
      <c r="C480" s="153"/>
      <c r="D480" s="148"/>
      <c r="E480" s="153"/>
      <c r="F480" s="148"/>
      <c r="G480" s="159"/>
      <c r="H480" s="148" t="str">
        <f t="shared" si="54"/>
        <v/>
      </c>
      <c r="I480" s="156"/>
      <c r="J480" s="156"/>
      <c r="K480" s="156"/>
      <c r="M480" s="144" t="str">
        <f t="shared" si="52"/>
        <v/>
      </c>
      <c r="N480" s="144" t="str">
        <f t="shared" si="53"/>
        <v/>
      </c>
    </row>
    <row r="481" spans="1:14">
      <c r="A481" s="147" t="str">
        <f>IF(C481="","",VLOOKUP('Opći dio'!#REF!,'Opći dio'!#REF!,10,FALSE))</f>
        <v/>
      </c>
      <c r="B481" s="147" t="str">
        <f>IF(C481="","",VLOOKUP('Opći dio'!#REF!,'Opći dio'!#REF!,9,FALSE))</f>
        <v/>
      </c>
      <c r="C481" s="153"/>
      <c r="D481" s="148" t="str">
        <f t="shared" ref="D468:D499" si="55">IFERROR(VLOOKUP(C481,$O$6:$P$16,2,FALSE),"")</f>
        <v/>
      </c>
      <c r="E481" s="153"/>
      <c r="F481" s="148" t="str">
        <f t="shared" ref="F468:F499" si="56">IFERROR(VLOOKUP(E481,$R$5:$T$129,2,FALSE),"")</f>
        <v/>
      </c>
      <c r="G481" s="159"/>
      <c r="H481" s="148" t="str">
        <f t="shared" si="54"/>
        <v/>
      </c>
      <c r="I481" s="156"/>
      <c r="J481" s="156"/>
      <c r="K481" s="156"/>
      <c r="M481" s="144" t="str">
        <f t="shared" si="52"/>
        <v/>
      </c>
      <c r="N481" s="144" t="str">
        <f t="shared" si="53"/>
        <v/>
      </c>
    </row>
    <row r="482" spans="1:14">
      <c r="A482" s="147" t="str">
        <f>IF(C482="","",VLOOKUP('Opći dio'!#REF!,'Opći dio'!#REF!,10,FALSE))</f>
        <v/>
      </c>
      <c r="B482" s="147" t="str">
        <f>IF(C482="","",VLOOKUP('Opći dio'!#REF!,'Opći dio'!#REF!,9,FALSE))</f>
        <v/>
      </c>
      <c r="C482" s="153"/>
      <c r="D482" s="148" t="str">
        <f t="shared" si="55"/>
        <v/>
      </c>
      <c r="E482" s="153"/>
      <c r="F482" s="148" t="str">
        <f t="shared" si="56"/>
        <v/>
      </c>
      <c r="G482" s="159"/>
      <c r="H482" s="148" t="str">
        <f t="shared" si="54"/>
        <v/>
      </c>
      <c r="I482" s="156"/>
      <c r="J482" s="156"/>
      <c r="K482" s="156"/>
      <c r="M482" s="144" t="str">
        <f t="shared" si="52"/>
        <v/>
      </c>
      <c r="N482" s="144" t="str">
        <f t="shared" si="53"/>
        <v/>
      </c>
    </row>
    <row r="483" spans="1:14">
      <c r="A483" s="147" t="str">
        <f>IF(C483="","",VLOOKUP('Opći dio'!#REF!,'Opći dio'!#REF!,10,FALSE))</f>
        <v/>
      </c>
      <c r="B483" s="147" t="str">
        <f>IF(C483="","",VLOOKUP('Opći dio'!#REF!,'Opći dio'!#REF!,9,FALSE))</f>
        <v/>
      </c>
      <c r="C483" s="153"/>
      <c r="D483" s="148" t="str">
        <f t="shared" si="55"/>
        <v/>
      </c>
      <c r="E483" s="153"/>
      <c r="F483" s="148" t="str">
        <f t="shared" si="56"/>
        <v/>
      </c>
      <c r="G483" s="159"/>
      <c r="H483" s="148" t="str">
        <f t="shared" si="54"/>
        <v/>
      </c>
      <c r="I483" s="156"/>
      <c r="J483" s="156"/>
      <c r="K483" s="156"/>
      <c r="M483" s="144" t="str">
        <f t="shared" si="52"/>
        <v/>
      </c>
      <c r="N483" s="144" t="str">
        <f t="shared" si="53"/>
        <v/>
      </c>
    </row>
    <row r="484" spans="1:14">
      <c r="A484" s="147" t="str">
        <f>IF(C484="","",VLOOKUP('Opći dio'!#REF!,'Opći dio'!#REF!,10,FALSE))</f>
        <v/>
      </c>
      <c r="B484" s="147" t="str">
        <f>IF(C484="","",VLOOKUP('Opći dio'!#REF!,'Opći dio'!#REF!,9,FALSE))</f>
        <v/>
      </c>
      <c r="C484" s="153"/>
      <c r="D484" s="148" t="str">
        <f t="shared" si="55"/>
        <v/>
      </c>
      <c r="E484" s="153"/>
      <c r="F484" s="148" t="str">
        <f t="shared" si="56"/>
        <v/>
      </c>
      <c r="G484" s="159"/>
      <c r="H484" s="148" t="str">
        <f t="shared" si="54"/>
        <v/>
      </c>
      <c r="I484" s="156"/>
      <c r="J484" s="156"/>
      <c r="K484" s="156"/>
      <c r="M484" s="144" t="str">
        <f t="shared" si="52"/>
        <v/>
      </c>
      <c r="N484" s="144" t="str">
        <f t="shared" si="53"/>
        <v/>
      </c>
    </row>
    <row r="485" spans="1:14">
      <c r="A485" s="147" t="str">
        <f>IF(C485="","",VLOOKUP('Opći dio'!#REF!,'Opći dio'!#REF!,10,FALSE))</f>
        <v/>
      </c>
      <c r="B485" s="147" t="str">
        <f>IF(C485="","",VLOOKUP('Opći dio'!#REF!,'Opći dio'!#REF!,9,FALSE))</f>
        <v/>
      </c>
      <c r="C485" s="153"/>
      <c r="D485" s="148" t="str">
        <f t="shared" si="55"/>
        <v/>
      </c>
      <c r="E485" s="153"/>
      <c r="F485" s="148" t="str">
        <f t="shared" si="56"/>
        <v/>
      </c>
      <c r="G485" s="159"/>
      <c r="H485" s="148" t="str">
        <f t="shared" si="54"/>
        <v/>
      </c>
      <c r="I485" s="156"/>
      <c r="J485" s="156"/>
      <c r="K485" s="156"/>
      <c r="M485" s="144" t="str">
        <f t="shared" si="52"/>
        <v/>
      </c>
      <c r="N485" s="144" t="str">
        <f t="shared" si="53"/>
        <v/>
      </c>
    </row>
    <row r="486" spans="1:14">
      <c r="A486" s="147" t="str">
        <f>IF(C486="","",VLOOKUP('Opći dio'!#REF!,'Opći dio'!#REF!,10,FALSE))</f>
        <v/>
      </c>
      <c r="B486" s="147" t="str">
        <f>IF(C486="","",VLOOKUP('Opći dio'!#REF!,'Opći dio'!#REF!,9,FALSE))</f>
        <v/>
      </c>
      <c r="C486" s="153"/>
      <c r="D486" s="148" t="str">
        <f t="shared" si="55"/>
        <v/>
      </c>
      <c r="E486" s="153"/>
      <c r="F486" s="148" t="str">
        <f t="shared" si="56"/>
        <v/>
      </c>
      <c r="G486" s="159"/>
      <c r="H486" s="148" t="str">
        <f t="shared" si="54"/>
        <v/>
      </c>
      <c r="I486" s="156"/>
      <c r="J486" s="156"/>
      <c r="K486" s="156"/>
      <c r="M486" s="144" t="str">
        <f t="shared" si="52"/>
        <v/>
      </c>
      <c r="N486" s="144" t="str">
        <f t="shared" si="53"/>
        <v/>
      </c>
    </row>
    <row r="487" spans="1:14">
      <c r="A487" s="147" t="str">
        <f>IF(C487="","",VLOOKUP('Opći dio'!#REF!,'Opći dio'!#REF!,10,FALSE))</f>
        <v/>
      </c>
      <c r="B487" s="147" t="str">
        <f>IF(C487="","",VLOOKUP('Opći dio'!#REF!,'Opći dio'!#REF!,9,FALSE))</f>
        <v/>
      </c>
      <c r="C487" s="153"/>
      <c r="D487" s="148" t="str">
        <f t="shared" si="55"/>
        <v/>
      </c>
      <c r="E487" s="153"/>
      <c r="F487" s="148" t="str">
        <f t="shared" si="56"/>
        <v/>
      </c>
      <c r="G487" s="159"/>
      <c r="H487" s="148" t="str">
        <f t="shared" si="54"/>
        <v/>
      </c>
      <c r="I487" s="156"/>
      <c r="J487" s="156"/>
      <c r="K487" s="156"/>
      <c r="M487" s="144" t="str">
        <f t="shared" si="52"/>
        <v/>
      </c>
      <c r="N487" s="144" t="str">
        <f t="shared" si="53"/>
        <v/>
      </c>
    </row>
    <row r="488" spans="1:14">
      <c r="A488" s="147" t="str">
        <f>IF(C488="","",VLOOKUP('Opći dio'!#REF!,'Opći dio'!#REF!,10,FALSE))</f>
        <v/>
      </c>
      <c r="B488" s="147" t="str">
        <f>IF(C488="","",VLOOKUP('Opći dio'!#REF!,'Opći dio'!#REF!,9,FALSE))</f>
        <v/>
      </c>
      <c r="C488" s="153"/>
      <c r="D488" s="148" t="str">
        <f t="shared" si="55"/>
        <v/>
      </c>
      <c r="E488" s="153"/>
      <c r="F488" s="148" t="str">
        <f t="shared" si="56"/>
        <v/>
      </c>
      <c r="G488" s="159"/>
      <c r="H488" s="148" t="str">
        <f t="shared" si="54"/>
        <v/>
      </c>
      <c r="I488" s="156"/>
      <c r="J488" s="156"/>
      <c r="K488" s="156"/>
      <c r="M488" s="144" t="str">
        <f t="shared" si="52"/>
        <v/>
      </c>
      <c r="N488" s="144" t="str">
        <f t="shared" si="53"/>
        <v/>
      </c>
    </row>
    <row r="489" spans="1:14">
      <c r="A489" s="147" t="str">
        <f>IF(C489="","",VLOOKUP('Opći dio'!#REF!,'Opći dio'!#REF!,10,FALSE))</f>
        <v/>
      </c>
      <c r="B489" s="147" t="str">
        <f>IF(C489="","",VLOOKUP('Opći dio'!#REF!,'Opći dio'!#REF!,9,FALSE))</f>
        <v/>
      </c>
      <c r="C489" s="153"/>
      <c r="D489" s="148" t="str">
        <f t="shared" si="55"/>
        <v/>
      </c>
      <c r="E489" s="153"/>
      <c r="F489" s="148" t="str">
        <f t="shared" si="56"/>
        <v/>
      </c>
      <c r="G489" s="159"/>
      <c r="H489" s="148" t="str">
        <f t="shared" si="54"/>
        <v/>
      </c>
      <c r="I489" s="156"/>
      <c r="J489" s="156"/>
      <c r="K489" s="156"/>
      <c r="M489" s="144" t="str">
        <f t="shared" si="52"/>
        <v/>
      </c>
      <c r="N489" s="144" t="str">
        <f t="shared" si="53"/>
        <v/>
      </c>
    </row>
    <row r="490" spans="1:14">
      <c r="A490" s="147" t="str">
        <f>IF(C490="","",VLOOKUP('Opći dio'!#REF!,'Opći dio'!#REF!,10,FALSE))</f>
        <v/>
      </c>
      <c r="B490" s="147" t="str">
        <f>IF(C490="","",VLOOKUP('Opći dio'!#REF!,'Opći dio'!#REF!,9,FALSE))</f>
        <v/>
      </c>
      <c r="C490" s="153"/>
      <c r="D490" s="148" t="str">
        <f t="shared" si="55"/>
        <v/>
      </c>
      <c r="E490" s="153"/>
      <c r="F490" s="148" t="str">
        <f t="shared" si="56"/>
        <v/>
      </c>
      <c r="G490" s="159"/>
      <c r="H490" s="148" t="str">
        <f t="shared" si="54"/>
        <v/>
      </c>
      <c r="I490" s="156"/>
      <c r="J490" s="156"/>
      <c r="K490" s="156"/>
      <c r="M490" s="144" t="str">
        <f t="shared" si="52"/>
        <v/>
      </c>
      <c r="N490" s="144" t="str">
        <f t="shared" si="53"/>
        <v/>
      </c>
    </row>
    <row r="491" spans="1:14">
      <c r="A491" s="147" t="str">
        <f>IF(C491="","",VLOOKUP('Opći dio'!#REF!,'Opći dio'!#REF!,10,FALSE))</f>
        <v/>
      </c>
      <c r="B491" s="147" t="str">
        <f>IF(C491="","",VLOOKUP('Opći dio'!#REF!,'Opći dio'!#REF!,9,FALSE))</f>
        <v/>
      </c>
      <c r="C491" s="153"/>
      <c r="D491" s="148" t="str">
        <f t="shared" si="55"/>
        <v/>
      </c>
      <c r="E491" s="153"/>
      <c r="F491" s="148" t="str">
        <f t="shared" si="56"/>
        <v/>
      </c>
      <c r="G491" s="159"/>
      <c r="H491" s="148" t="str">
        <f t="shared" si="54"/>
        <v/>
      </c>
      <c r="I491" s="156"/>
      <c r="J491" s="156"/>
      <c r="K491" s="156"/>
      <c r="M491" s="144" t="str">
        <f t="shared" si="52"/>
        <v/>
      </c>
      <c r="N491" s="144" t="str">
        <f t="shared" si="53"/>
        <v/>
      </c>
    </row>
    <row r="492" spans="1:14">
      <c r="A492" s="147" t="str">
        <f>IF(C492="","",VLOOKUP('Opći dio'!#REF!,'Opći dio'!#REF!,10,FALSE))</f>
        <v/>
      </c>
      <c r="B492" s="147" t="str">
        <f>IF(C492="","",VLOOKUP('Opći dio'!#REF!,'Opći dio'!#REF!,9,FALSE))</f>
        <v/>
      </c>
      <c r="C492" s="153"/>
      <c r="D492" s="148" t="str">
        <f t="shared" si="55"/>
        <v/>
      </c>
      <c r="E492" s="153"/>
      <c r="F492" s="148" t="str">
        <f t="shared" si="56"/>
        <v/>
      </c>
      <c r="G492" s="159"/>
      <c r="H492" s="148" t="str">
        <f t="shared" si="54"/>
        <v/>
      </c>
      <c r="I492" s="156"/>
      <c r="J492" s="156"/>
      <c r="K492" s="156"/>
      <c r="M492" s="144" t="str">
        <f t="shared" si="52"/>
        <v/>
      </c>
      <c r="N492" s="144" t="str">
        <f t="shared" si="53"/>
        <v/>
      </c>
    </row>
    <row r="493" spans="1:14">
      <c r="A493" s="147" t="str">
        <f>IF(C493="","",VLOOKUP('Opći dio'!#REF!,'Opći dio'!#REF!,10,FALSE))</f>
        <v/>
      </c>
      <c r="B493" s="147" t="str">
        <f>IF(C493="","",VLOOKUP('Opći dio'!#REF!,'Opći dio'!#REF!,9,FALSE))</f>
        <v/>
      </c>
      <c r="C493" s="153"/>
      <c r="D493" s="148" t="str">
        <f t="shared" si="55"/>
        <v/>
      </c>
      <c r="E493" s="153"/>
      <c r="F493" s="148" t="str">
        <f t="shared" si="56"/>
        <v/>
      </c>
      <c r="G493" s="159"/>
      <c r="H493" s="148" t="str">
        <f t="shared" si="54"/>
        <v/>
      </c>
      <c r="I493" s="156"/>
      <c r="J493" s="156"/>
      <c r="K493" s="156"/>
      <c r="M493" s="144" t="str">
        <f t="shared" si="52"/>
        <v/>
      </c>
      <c r="N493" s="144" t="str">
        <f t="shared" si="53"/>
        <v/>
      </c>
    </row>
    <row r="494" spans="1:14">
      <c r="A494" s="147" t="str">
        <f>IF(C494="","",VLOOKUP('Opći dio'!#REF!,'Opći dio'!#REF!,10,FALSE))</f>
        <v/>
      </c>
      <c r="B494" s="147" t="str">
        <f>IF(C494="","",VLOOKUP('Opći dio'!#REF!,'Opći dio'!#REF!,9,FALSE))</f>
        <v/>
      </c>
      <c r="C494" s="153"/>
      <c r="D494" s="148" t="str">
        <f t="shared" si="55"/>
        <v/>
      </c>
      <c r="E494" s="153"/>
      <c r="F494" s="148" t="str">
        <f t="shared" si="56"/>
        <v/>
      </c>
      <c r="G494" s="159"/>
      <c r="H494" s="148" t="str">
        <f t="shared" si="54"/>
        <v/>
      </c>
      <c r="I494" s="156"/>
      <c r="J494" s="156"/>
      <c r="K494" s="156"/>
      <c r="M494" s="144" t="str">
        <f t="shared" si="52"/>
        <v/>
      </c>
      <c r="N494" s="144" t="str">
        <f t="shared" si="53"/>
        <v/>
      </c>
    </row>
    <row r="495" spans="1:14">
      <c r="A495" s="147" t="str">
        <f>IF(C495="","",VLOOKUP('Opći dio'!#REF!,'Opći dio'!#REF!,10,FALSE))</f>
        <v/>
      </c>
      <c r="B495" s="147" t="str">
        <f>IF(C495="","",VLOOKUP('Opći dio'!#REF!,'Opći dio'!#REF!,9,FALSE))</f>
        <v/>
      </c>
      <c r="C495" s="153"/>
      <c r="D495" s="148" t="str">
        <f t="shared" si="55"/>
        <v/>
      </c>
      <c r="E495" s="153"/>
      <c r="F495" s="148" t="str">
        <f t="shared" si="56"/>
        <v/>
      </c>
      <c r="G495" s="159"/>
      <c r="H495" s="148" t="str">
        <f t="shared" si="54"/>
        <v/>
      </c>
      <c r="I495" s="156"/>
      <c r="J495" s="156"/>
      <c r="K495" s="156"/>
      <c r="M495" s="144" t="str">
        <f t="shared" si="52"/>
        <v/>
      </c>
      <c r="N495" s="144" t="str">
        <f t="shared" si="53"/>
        <v/>
      </c>
    </row>
    <row r="496" spans="1:14">
      <c r="A496" s="147" t="str">
        <f>IF(C496="","",VLOOKUP('Opći dio'!#REF!,'Opći dio'!#REF!,10,FALSE))</f>
        <v/>
      </c>
      <c r="B496" s="147" t="str">
        <f>IF(C496="","",VLOOKUP('Opći dio'!#REF!,'Opći dio'!#REF!,9,FALSE))</f>
        <v/>
      </c>
      <c r="C496" s="153"/>
      <c r="D496" s="148" t="str">
        <f t="shared" si="55"/>
        <v/>
      </c>
      <c r="E496" s="153"/>
      <c r="F496" s="148" t="str">
        <f t="shared" si="56"/>
        <v/>
      </c>
      <c r="G496" s="159"/>
      <c r="H496" s="148" t="str">
        <f t="shared" si="54"/>
        <v/>
      </c>
      <c r="I496" s="156"/>
      <c r="J496" s="156"/>
      <c r="K496" s="156"/>
      <c r="M496" s="144" t="str">
        <f t="shared" si="52"/>
        <v/>
      </c>
      <c r="N496" s="144" t="str">
        <f t="shared" si="53"/>
        <v/>
      </c>
    </row>
    <row r="497" spans="1:14">
      <c r="A497" s="147" t="str">
        <f>IF(C497="","",VLOOKUP('Opći dio'!#REF!,'Opći dio'!#REF!,10,FALSE))</f>
        <v/>
      </c>
      <c r="B497" s="147" t="str">
        <f>IF(C497="","",VLOOKUP('Opći dio'!#REF!,'Opći dio'!#REF!,9,FALSE))</f>
        <v/>
      </c>
      <c r="C497" s="153"/>
      <c r="D497" s="148" t="str">
        <f t="shared" si="55"/>
        <v/>
      </c>
      <c r="E497" s="153"/>
      <c r="F497" s="148" t="str">
        <f t="shared" si="56"/>
        <v/>
      </c>
      <c r="G497" s="159"/>
      <c r="H497" s="148" t="str">
        <f t="shared" si="54"/>
        <v/>
      </c>
      <c r="I497" s="156"/>
      <c r="J497" s="156"/>
      <c r="K497" s="156"/>
      <c r="M497" s="144" t="str">
        <f t="shared" si="52"/>
        <v/>
      </c>
      <c r="N497" s="144" t="str">
        <f t="shared" si="53"/>
        <v/>
      </c>
    </row>
    <row r="498" spans="1:14">
      <c r="A498" s="147" t="str">
        <f>IF(C498="","",VLOOKUP('Opći dio'!#REF!,'Opći dio'!#REF!,10,FALSE))</f>
        <v/>
      </c>
      <c r="B498" s="147" t="str">
        <f>IF(C498="","",VLOOKUP('Opći dio'!#REF!,'Opći dio'!#REF!,9,FALSE))</f>
        <v/>
      </c>
      <c r="C498" s="153"/>
      <c r="D498" s="148" t="str">
        <f t="shared" si="55"/>
        <v/>
      </c>
      <c r="E498" s="153"/>
      <c r="F498" s="148" t="str">
        <f t="shared" si="56"/>
        <v/>
      </c>
      <c r="G498" s="159"/>
      <c r="H498" s="148" t="str">
        <f t="shared" si="54"/>
        <v/>
      </c>
      <c r="I498" s="156"/>
      <c r="J498" s="156"/>
      <c r="K498" s="156"/>
      <c r="M498" s="144" t="str">
        <f t="shared" si="52"/>
        <v/>
      </c>
      <c r="N498" s="144" t="str">
        <f t="shared" si="53"/>
        <v/>
      </c>
    </row>
    <row r="499" spans="1:14">
      <c r="A499" s="147" t="str">
        <f>IF(C499="","",VLOOKUP('Opći dio'!#REF!,'Opći dio'!#REF!,10,FALSE))</f>
        <v/>
      </c>
      <c r="B499" s="147" t="str">
        <f>IF(C499="","",VLOOKUP('Opći dio'!#REF!,'Opći dio'!#REF!,9,FALSE))</f>
        <v/>
      </c>
      <c r="C499" s="153"/>
      <c r="D499" s="148" t="str">
        <f t="shared" si="55"/>
        <v/>
      </c>
      <c r="E499" s="153"/>
      <c r="F499" s="148" t="str">
        <f t="shared" si="56"/>
        <v/>
      </c>
      <c r="G499" s="159"/>
      <c r="H499" s="148" t="str">
        <f t="shared" si="54"/>
        <v/>
      </c>
      <c r="I499" s="156"/>
      <c r="J499" s="156"/>
      <c r="K499" s="156"/>
      <c r="M499" s="144" t="str">
        <f t="shared" si="52"/>
        <v/>
      </c>
      <c r="N499" s="144" t="str">
        <f t="shared" si="53"/>
        <v/>
      </c>
    </row>
    <row r="500" spans="1:14">
      <c r="A500" s="147" t="str">
        <f>IF(C500="","",VLOOKUP('Opći dio'!#REF!,'Opći dio'!#REF!,10,FALSE))</f>
        <v/>
      </c>
      <c r="B500" s="147" t="str">
        <f>IF(C500="","",VLOOKUP('Opći dio'!#REF!,'Opći dio'!#REF!,9,FALSE))</f>
        <v/>
      </c>
      <c r="C500" s="153"/>
      <c r="D500" s="148" t="str">
        <f t="shared" ref="D500:D531" si="57">IFERROR(VLOOKUP(C500,$O$6:$P$16,2,FALSE),"")</f>
        <v/>
      </c>
      <c r="E500" s="153"/>
      <c r="F500" s="148" t="str">
        <f t="shared" ref="F500:F531" si="58">IFERROR(VLOOKUP(E500,$R$5:$T$129,2,FALSE),"")</f>
        <v/>
      </c>
      <c r="G500" s="159"/>
      <c r="H500" s="148" t="str">
        <f t="shared" ref="H500:H531" si="59">IFERROR(VLOOKUP(G500,$X$6:$Y$50,2,FALSE),"")</f>
        <v/>
      </c>
      <c r="I500" s="156"/>
      <c r="J500" s="156"/>
      <c r="K500" s="156"/>
      <c r="M500" s="144" t="str">
        <f t="shared" si="52"/>
        <v/>
      </c>
      <c r="N500" s="144" t="str">
        <f t="shared" si="53"/>
        <v/>
      </c>
    </row>
    <row r="501" spans="1:14">
      <c r="A501" s="147" t="str">
        <f>IF(C501="","",VLOOKUP('Opći dio'!#REF!,'Opći dio'!#REF!,10,FALSE))</f>
        <v/>
      </c>
      <c r="B501" s="147" t="str">
        <f>IF(C501="","",VLOOKUP('Opći dio'!#REF!,'Opći dio'!#REF!,9,FALSE))</f>
        <v/>
      </c>
      <c r="C501" s="153"/>
      <c r="D501" s="148" t="str">
        <f t="shared" si="57"/>
        <v/>
      </c>
      <c r="E501" s="153"/>
      <c r="F501" s="148" t="str">
        <f t="shared" si="58"/>
        <v/>
      </c>
      <c r="G501" s="159"/>
      <c r="H501" s="148" t="str">
        <f t="shared" si="59"/>
        <v/>
      </c>
      <c r="I501" s="156"/>
      <c r="J501" s="156"/>
      <c r="K501" s="156"/>
      <c r="M501" s="144" t="str">
        <f t="shared" si="52"/>
        <v/>
      </c>
      <c r="N501" s="144" t="str">
        <f t="shared" si="53"/>
        <v/>
      </c>
    </row>
    <row r="502" spans="1:14"/>
  </sheetData>
  <sheetProtection selectLockedCells="1"/>
  <sortState ref="R5:U118">
    <sortCondition ref="R5"/>
  </sortState>
  <mergeCells count="1">
    <mergeCell ref="A1:D1"/>
  </mergeCells>
  <dataValidations count="10">
    <dataValidation type="list" allowBlank="1" showInputMessage="1" showErrorMessage="1" errorTitle="GREŠKA" error="Za unos odaberite vrijednost iz padajućeg izbornika!" prompt="Molimo odaberite vrijednost iz padajućeg izbornika!" sqref="C53:C157 C315:C501">
      <formula1>$O$6:$O$16</formula1>
    </dataValidation>
    <dataValidation type="whole" allowBlank="1" showInputMessage="1" showErrorMessage="1" errorTitle="GREŠKA" error="U ovo polje je dozvoljen unos samo brojčanih vrijednosti (bez decimala!)" sqref="I3:K9 I53:K253 I272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53:E95 E315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53:G95 G107:G157 G315:G501">
      <formula1>$X$6:$X$50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2 C158:C301">
      <formula1>$AE$6:$AE$17</formula1>
    </dataValidation>
    <dataValidation type="list" allowBlank="1" showInputMessage="1" showErrorMessage="1" errorTitle="GREŠKA" error="Za unos odaberite vrijednost iz padajućeg izbornika!" prompt="Molimo odaberite vrijednost iz padajućeg izbornika!" sqref="E3:E52 E158:E301 E303 E314 E310 E306">
      <formula1>$AH$5:$AH$134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2 G158:G301">
      <formula1>$AN$6:$AN$53</formula1>
    </dataValidation>
    <dataValidation type="list" allowBlank="1" showInputMessage="1" showErrorMessage="1" errorTitle="GREŠKA" error="Za unos odaberite vrijednost iz padajućeg izbornika!" prompt="Molimo odaberite vrijednost iz padajućeg izbornika!" sqref="E96:E106">
      <formula1>$R$5:$R$124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96:G106">
      <formula1>$X$6:$X$49</formula1>
    </dataValidation>
    <dataValidation type="list" allowBlank="1" showInputMessage="1" showErrorMessage="1" errorTitle="GREŠKA" error="Za unos odaberite vrijednost iz padajućeg izbornika!" prompt="Molimo odaberite vrijednost iz padajućeg izbornika!" sqref="E107:E157">
      <formula1>$R$5:$R$131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pageSetUpPr fitToPage="1"/>
  </sheetPr>
  <dimension ref="A1:V121"/>
  <sheetViews>
    <sheetView showGridLines="0" tabSelected="1" zoomScale="80" zoomScaleNormal="80" workbookViewId="0">
      <pane ySplit="2" topLeftCell="A3" activePane="bottomLeft" state="frozen"/>
      <selection pane="bottomLeft" activeCell="D79" sqref="D79:P79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33" t="s">
        <v>273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22" s="91" customFormat="1">
      <c r="A2" s="90"/>
      <c r="B2" s="90"/>
      <c r="C2" s="90"/>
      <c r="P2" s="92" t="s">
        <v>274</v>
      </c>
    </row>
    <row r="3" spans="1:22" s="91" customFormat="1" ht="15.6" customHeight="1">
      <c r="A3" s="227" t="s">
        <v>275</v>
      </c>
      <c r="B3" s="228"/>
      <c r="C3" s="229" t="s">
        <v>34</v>
      </c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1"/>
    </row>
    <row r="4" spans="1:22" s="91" customFormat="1" ht="89.25">
      <c r="A4" s="93" t="s">
        <v>276</v>
      </c>
      <c r="B4" s="93" t="s">
        <v>277</v>
      </c>
      <c r="C4" s="155" t="s">
        <v>278</v>
      </c>
      <c r="D4" s="137" t="s">
        <v>359</v>
      </c>
      <c r="E4" s="137" t="s">
        <v>331</v>
      </c>
      <c r="F4" s="94" t="s">
        <v>2</v>
      </c>
      <c r="G4" s="94" t="s">
        <v>3</v>
      </c>
      <c r="H4" s="94" t="s">
        <v>279</v>
      </c>
      <c r="I4" s="94" t="s">
        <v>280</v>
      </c>
      <c r="J4" s="94" t="s">
        <v>281</v>
      </c>
      <c r="K4" s="136" t="s">
        <v>282</v>
      </c>
      <c r="L4" s="136" t="s">
        <v>283</v>
      </c>
      <c r="M4" s="94" t="s">
        <v>284</v>
      </c>
      <c r="N4" s="94" t="s">
        <v>285</v>
      </c>
      <c r="O4" s="94" t="s">
        <v>323</v>
      </c>
      <c r="P4" s="94" t="s">
        <v>1222</v>
      </c>
    </row>
    <row r="5" spans="1:22" s="91" customFormat="1" ht="19.5" customHeight="1">
      <c r="A5" s="96"/>
      <c r="B5" s="97" t="s">
        <v>0</v>
      </c>
      <c r="C5" s="71">
        <f t="shared" ref="C5:C9" si="0">SUM(D5:P5)</f>
        <v>21566130</v>
      </c>
      <c r="D5" s="3"/>
      <c r="E5" s="3"/>
      <c r="F5" s="3">
        <v>194400</v>
      </c>
      <c r="G5" s="3">
        <v>14282110</v>
      </c>
      <c r="H5" s="3"/>
      <c r="I5" s="3">
        <v>7089620</v>
      </c>
      <c r="J5" s="3"/>
      <c r="K5" s="3"/>
      <c r="L5" s="3"/>
      <c r="M5" s="3"/>
      <c r="N5" s="3"/>
      <c r="O5" s="3"/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355</v>
      </c>
      <c r="C6" s="71">
        <f t="shared" si="0"/>
        <v>167876127.54261488</v>
      </c>
      <c r="D6" s="15">
        <f t="shared" ref="D6:P6" si="1">+D26+D33</f>
        <v>57137099.542614892</v>
      </c>
      <c r="E6" s="15">
        <f t="shared" si="1"/>
        <v>23000913</v>
      </c>
      <c r="F6" s="15">
        <f t="shared" si="1"/>
        <v>1206150</v>
      </c>
      <c r="G6" s="15">
        <f t="shared" si="1"/>
        <v>7930852</v>
      </c>
      <c r="H6" s="15">
        <f t="shared" si="1"/>
        <v>0</v>
      </c>
      <c r="I6" s="15">
        <f t="shared" si="1"/>
        <v>1970571</v>
      </c>
      <c r="J6" s="15">
        <f t="shared" si="1"/>
        <v>0</v>
      </c>
      <c r="K6" s="15">
        <f t="shared" si="1"/>
        <v>0</v>
      </c>
      <c r="L6" s="15">
        <f t="shared" si="1"/>
        <v>75839669</v>
      </c>
      <c r="M6" s="15">
        <f t="shared" si="1"/>
        <v>790873</v>
      </c>
      <c r="N6" s="15">
        <f t="shared" si="1"/>
        <v>0</v>
      </c>
      <c r="O6" s="15">
        <f t="shared" si="1"/>
        <v>0</v>
      </c>
      <c r="P6" s="15">
        <f t="shared" si="1"/>
        <v>0</v>
      </c>
    </row>
    <row r="7" spans="1:22" s="91" customFormat="1" ht="21.75" customHeight="1">
      <c r="A7" s="96"/>
      <c r="B7" s="97" t="s">
        <v>358</v>
      </c>
      <c r="C7" s="71">
        <f t="shared" si="0"/>
        <v>-10800070</v>
      </c>
      <c r="D7" s="115">
        <v>0</v>
      </c>
      <c r="E7" s="115"/>
      <c r="F7" s="115">
        <v>-150400</v>
      </c>
      <c r="G7" s="115">
        <v>-10514160</v>
      </c>
      <c r="H7" s="115"/>
      <c r="I7" s="115">
        <v>-135510</v>
      </c>
      <c r="J7" s="3"/>
      <c r="K7" s="115"/>
      <c r="L7" s="115"/>
      <c r="M7" s="115"/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286</v>
      </c>
      <c r="C8" s="71">
        <f t="shared" si="0"/>
        <v>178642187.54261488</v>
      </c>
      <c r="D8" s="15">
        <f>+D5+D6+D7</f>
        <v>57137099.542614892</v>
      </c>
      <c r="E8" s="15">
        <f t="shared" ref="E8:P8" si="2">+E5+E6+E7</f>
        <v>23000913</v>
      </c>
      <c r="F8" s="15">
        <f t="shared" si="2"/>
        <v>1250150</v>
      </c>
      <c r="G8" s="15">
        <f t="shared" si="2"/>
        <v>11698802</v>
      </c>
      <c r="H8" s="15">
        <f t="shared" si="2"/>
        <v>0</v>
      </c>
      <c r="I8" s="15">
        <f t="shared" si="2"/>
        <v>8924681</v>
      </c>
      <c r="J8" s="15">
        <f t="shared" si="2"/>
        <v>0</v>
      </c>
      <c r="K8" s="15">
        <f t="shared" si="2"/>
        <v>0</v>
      </c>
      <c r="L8" s="15">
        <f t="shared" si="2"/>
        <v>75839669</v>
      </c>
      <c r="M8" s="15">
        <f t="shared" si="2"/>
        <v>790873</v>
      </c>
      <c r="N8" s="15">
        <f t="shared" si="2"/>
        <v>0</v>
      </c>
      <c r="O8" s="15">
        <f t="shared" si="2"/>
        <v>0</v>
      </c>
      <c r="P8" s="15">
        <f t="shared" si="2"/>
        <v>0</v>
      </c>
    </row>
    <row r="9" spans="1:22" s="91" customFormat="1">
      <c r="A9" s="113"/>
      <c r="B9" s="114" t="s">
        <v>233</v>
      </c>
      <c r="C9" s="71">
        <f t="shared" si="0"/>
        <v>178642187.54261488</v>
      </c>
      <c r="D9" s="138">
        <f>+'PLAN RASHODA I IZDATAKA'!D3</f>
        <v>57137099.542614892</v>
      </c>
      <c r="E9" s="138">
        <f>+'PLAN RASHODA I IZDATAKA'!E3</f>
        <v>23000913</v>
      </c>
      <c r="F9" s="138">
        <f>+'PLAN RASHODA I IZDATAKA'!F3</f>
        <v>1250150</v>
      </c>
      <c r="G9" s="138">
        <f>+'PLAN RASHODA I IZDATAKA'!G3</f>
        <v>11698802</v>
      </c>
      <c r="H9" s="138">
        <f>+'PLAN RASHODA I IZDATAKA'!H3</f>
        <v>0</v>
      </c>
      <c r="I9" s="138">
        <f>+'PLAN RASHODA I IZDATAKA'!I3</f>
        <v>8924681</v>
      </c>
      <c r="J9" s="138">
        <f>+'PLAN RASHODA I IZDATAKA'!J3</f>
        <v>0</v>
      </c>
      <c r="K9" s="138">
        <f>+'PLAN RASHODA I IZDATAKA'!K3</f>
        <v>0</v>
      </c>
      <c r="L9" s="138">
        <f>+'PLAN RASHODA I IZDATAKA'!L3</f>
        <v>75839669</v>
      </c>
      <c r="M9" s="138">
        <f>+'PLAN RASHODA I IZDATAKA'!M3</f>
        <v>790873</v>
      </c>
      <c r="N9" s="138">
        <f>+'PLAN RASHODA I IZDATAKA'!N3</f>
        <v>0</v>
      </c>
      <c r="O9" s="138">
        <f>+'PLAN RASHODA I IZDATAKA'!O3</f>
        <v>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357</v>
      </c>
      <c r="C10" s="70">
        <f>SUM(D10:P10)</f>
        <v>0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287</v>
      </c>
      <c r="B11" s="111" t="s">
        <v>288</v>
      </c>
      <c r="C11" s="112">
        <f t="shared" ref="C11" si="4">SUM(D11:P11)</f>
        <v>0</v>
      </c>
      <c r="D11" s="162">
        <f>SUMIFS('Plan prihoda za unos u SAP'!$G$3:$G$501,'Plan prihoda za unos u SAP'!$C$3:$C$501,"=11",'Plan prihoda za unos u SAP'!$K$3:$K$501,"=631")</f>
        <v>0</v>
      </c>
      <c r="E11" s="162">
        <f>SUMIFS('Plan prihoda za unos u SAP'!$G$3:$G$501,'Plan prihoda za unos u SAP'!$C$3:$C$501,"=12",'Plan prihoda za unos u SAP'!$K$3:$K$501,"=631")</f>
        <v>0</v>
      </c>
      <c r="F11" s="162">
        <f>SUMIFS('Plan prihoda za unos u SAP'!$G$3:$G$501,'Plan prihoda za unos u SAP'!$C$3:$C$501,"=31",'Plan prihoda za unos u SAP'!$K$3:$K$501,"=631")</f>
        <v>0</v>
      </c>
      <c r="G11" s="162">
        <f>SUMIFS('Plan prihoda za unos u SAP'!$G$3:$G$501,'Plan prihoda za unos u SAP'!$C$3:$C$501,"=43",'Plan prihoda za unos u SAP'!$K$3:$K$501,"=631")</f>
        <v>0</v>
      </c>
      <c r="H11" s="162">
        <f>SUMIFS('Plan prihoda za unos u SAP'!$G$3:$G$501,'Plan prihoda za unos u SAP'!$C$3:$C$501,"=51",'Plan prihoda za unos u SAP'!$K$3:$K$501,"=631")</f>
        <v>0</v>
      </c>
      <c r="I11" s="162">
        <f>SUMIFS('Plan prihoda za unos u SAP'!$G$3:$G$501,'Plan prihoda za unos u SAP'!$C$3:$C$501,"=52",'Plan prihoda za unos u SAP'!$K$3:$K$501,"=631")</f>
        <v>0</v>
      </c>
      <c r="J11" s="162">
        <f>SUMIFS('Plan prihoda za unos u SAP'!$G$3:$G$501,'Plan prihoda za unos u SAP'!$C$3:$C$501,"=559",'Plan prihoda za unos u SAP'!$K$3:$K$501,"=631")</f>
        <v>0</v>
      </c>
      <c r="K11" s="162">
        <f>SUMIFS('Plan prihoda za unos u SAP'!$G$3:$G$501,'Plan prihoda za unos u SAP'!$C$3:$C$501,"=561",'Plan prihoda za unos u SAP'!$K$3:$K$501,"=631")</f>
        <v>0</v>
      </c>
      <c r="L11" s="162">
        <f>SUMIFS('Plan prihoda za unos u SAP'!$G$3:$G$501,'Plan prihoda za unos u SAP'!$C$3:$C$501,"=563",'Plan prihoda za unos u SAP'!$K$3:$K$501,"=631")</f>
        <v>0</v>
      </c>
      <c r="M11" s="162">
        <f>SUMIFS('Plan prihoda za unos u SAP'!$G$3:$G$501,'Plan prihoda za unos u SAP'!$C$3:$C$501,"=61",'Plan prihoda za unos u SAP'!$K$3:$K$501,"=631")</f>
        <v>0</v>
      </c>
      <c r="N11" s="162">
        <f>SUMIFS('Plan prihoda za unos u SAP'!$G$3:$G$501,'Plan prihoda za unos u SAP'!$C$3:$C$501,"=63",'Plan prihoda za unos u SAP'!$K$3:$K$501,"=631")</f>
        <v>0</v>
      </c>
      <c r="O11" s="162">
        <f>SUMIFS('Plan prihoda za unos u SAP'!$G$3:$G$501,'Plan prihoda za unos u SAP'!$C$3:$C$501,"=71",'Plan prihoda za unos u SAP'!$K$3:$K$501,"=631")</f>
        <v>0</v>
      </c>
      <c r="P11" s="162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289</v>
      </c>
      <c r="B12" s="97" t="s">
        <v>290</v>
      </c>
      <c r="C12" s="71">
        <f t="shared" ref="C12:C34" si="5">SUM(D12:P12)</f>
        <v>75839669</v>
      </c>
      <c r="D12" s="162">
        <f>SUMIFS('Plan prihoda za unos u SAP'!$G$3:$G$501,'Plan prihoda za unos u SAP'!$C$3:$C$501,"=11",'Plan prihoda za unos u SAP'!$K$3:$K$501,"=632")</f>
        <v>0</v>
      </c>
      <c r="E12" s="162">
        <f>SUMIFS('Plan prihoda za unos u SAP'!$G$3:$G$501,'Plan prihoda za unos u SAP'!$C$3:$C$501,"=12",'Plan prihoda za unos u SAP'!$K$3:$K$501,"=632")</f>
        <v>0</v>
      </c>
      <c r="F12" s="162">
        <f>SUMIFS('Plan prihoda za unos u SAP'!$G$3:$G$501,'Plan prihoda za unos u SAP'!$C$3:$C$501,"=31",'Plan prihoda za unos u SAP'!$K$3:$K$501,"=632")</f>
        <v>0</v>
      </c>
      <c r="G12" s="162">
        <f>SUMIFS('Plan prihoda za unos u SAP'!$G$3:$G$501,'Plan prihoda za unos u SAP'!$C$3:$C$501,"=43",'Plan prihoda za unos u SAP'!$K$3:$K$501,"=632")</f>
        <v>0</v>
      </c>
      <c r="H12" s="162">
        <f>SUMIFS('Plan prihoda za unos u SAP'!$G$3:$G$501,'Plan prihoda za unos u SAP'!$C$3:$C$501,"=51",'Plan prihoda za unos u SAP'!$K$3:$K$501,"=632")</f>
        <v>0</v>
      </c>
      <c r="I12" s="162">
        <f>SUMIFS('Plan prihoda za unos u SAP'!$G$3:$G$501,'Plan prihoda za unos u SAP'!$C$3:$C$501,"=52",'Plan prihoda za unos u SAP'!$K$3:$K$501,"=632")</f>
        <v>0</v>
      </c>
      <c r="J12" s="162">
        <f>SUMIFS('Plan prihoda za unos u SAP'!$G$3:$G$501,'Plan prihoda za unos u SAP'!$C$3:$C$501,"=559",'Plan prihoda za unos u SAP'!$K$3:$K$501,"=632")</f>
        <v>0</v>
      </c>
      <c r="K12" s="162">
        <f>SUMIFS('Plan prihoda za unos u SAP'!$G$3:$G$501,'Plan prihoda za unos u SAP'!$C$3:$C$501,"=561",'Plan prihoda za unos u SAP'!$K$3:$K$501,"=632")</f>
        <v>0</v>
      </c>
      <c r="L12" s="162">
        <f>SUMIFS('Plan prihoda za unos u SAP'!$G$3:$G$501,'Plan prihoda za unos u SAP'!$C$3:$C$501,"=563",'Plan prihoda za unos u SAP'!$K$3:$K$501,"=632")</f>
        <v>75839669</v>
      </c>
      <c r="M12" s="162">
        <f>SUMIFS('Plan prihoda za unos u SAP'!$G$3:$G$501,'Plan prihoda za unos u SAP'!$C$3:$C$501,"=61",'Plan prihoda za unos u SAP'!$K$3:$K$501,"=632")</f>
        <v>0</v>
      </c>
      <c r="N12" s="162">
        <f>SUMIFS('Plan prihoda za unos u SAP'!$G$3:$G$501,'Plan prihoda za unos u SAP'!$C$3:$C$501,"=63",'Plan prihoda za unos u SAP'!$K$3:$K$501,"=632")</f>
        <v>0</v>
      </c>
      <c r="O12" s="162">
        <f>SUMIFS('Plan prihoda za unos u SAP'!$G$3:$G$501,'Plan prihoda za unos u SAP'!$C$3:$C$501,"=71",'Plan prihoda za unos u SAP'!$K$3:$K$501,"=632")</f>
        <v>0</v>
      </c>
      <c r="P12" s="162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291</v>
      </c>
      <c r="B13" s="97" t="s">
        <v>292</v>
      </c>
      <c r="C13" s="71">
        <f t="shared" si="5"/>
        <v>0</v>
      </c>
      <c r="D13" s="162">
        <f>SUMIFS('Plan prihoda za unos u SAP'!$G$3:$G$501,'Plan prihoda za unos u SAP'!$C$3:$C$501,"=11",'Plan prihoda za unos u SAP'!$K$3:$K$501,"=634")</f>
        <v>0</v>
      </c>
      <c r="E13" s="162">
        <f>SUMIFS('Plan prihoda za unos u SAP'!$G$3:$G$501,'Plan prihoda za unos u SAP'!$C$3:$C$501,"=12",'Plan prihoda za unos u SAP'!$K$3:$K$501,"=634")</f>
        <v>0</v>
      </c>
      <c r="F13" s="162">
        <f>SUMIFS('Plan prihoda za unos u SAP'!$G$3:$G$501,'Plan prihoda za unos u SAP'!$C$3:$C$501,"=31",'Plan prihoda za unos u SAP'!$K$3:$K$501,"=634")</f>
        <v>0</v>
      </c>
      <c r="G13" s="162">
        <f>SUMIFS('Plan prihoda za unos u SAP'!$G$3:$G$501,'Plan prihoda za unos u SAP'!$C$3:$C$501,"=43",'Plan prihoda za unos u SAP'!$K$3:$K$501,"=634")</f>
        <v>0</v>
      </c>
      <c r="H13" s="162">
        <f>SUMIFS('Plan prihoda za unos u SAP'!$G$3:$G$501,'Plan prihoda za unos u SAP'!$C$3:$C$501,"=51",'Plan prihoda za unos u SAP'!$K$3:$K$501,"=634")</f>
        <v>0</v>
      </c>
      <c r="I13" s="162">
        <f>SUMIFS('Plan prihoda za unos u SAP'!$G$3:$G$501,'Plan prihoda za unos u SAP'!$C$3:$C$501,"=52",'Plan prihoda za unos u SAP'!$K$3:$K$501,"=634")</f>
        <v>0</v>
      </c>
      <c r="J13" s="162">
        <f>SUMIFS('Plan prihoda za unos u SAP'!$G$3:$G$501,'Plan prihoda za unos u SAP'!$C$3:$C$501,"=559",'Plan prihoda za unos u SAP'!$K$3:$K$501,"=634")</f>
        <v>0</v>
      </c>
      <c r="K13" s="162">
        <f>SUMIFS('Plan prihoda za unos u SAP'!$G$3:$G$501,'Plan prihoda za unos u SAP'!$C$3:$C$501,"=561",'Plan prihoda za unos u SAP'!$K$3:$K$501,"=634")</f>
        <v>0</v>
      </c>
      <c r="L13" s="162">
        <f>SUMIFS('Plan prihoda za unos u SAP'!$G$3:$G$501,'Plan prihoda za unos u SAP'!$C$3:$C$501,"=563",'Plan prihoda za unos u SAP'!$K$3:$K$501,"=634")</f>
        <v>0</v>
      </c>
      <c r="M13" s="162">
        <f>SUMIFS('Plan prihoda za unos u SAP'!$G$3:$G$501,'Plan prihoda za unos u SAP'!$C$3:$C$501,"=61",'Plan prihoda za unos u SAP'!$K$3:$K$501,"=634")</f>
        <v>0</v>
      </c>
      <c r="N13" s="162">
        <f>SUMIFS('Plan prihoda za unos u SAP'!$G$3:$G$501,'Plan prihoda za unos u SAP'!$C$3:$C$501,"=63",'Plan prihoda za unos u SAP'!$K$3:$K$501,"=634")</f>
        <v>0</v>
      </c>
      <c r="O13" s="162">
        <f>SUMIFS('Plan prihoda za unos u SAP'!$G$3:$G$501,'Plan prihoda za unos u SAP'!$C$3:$C$501,"=71",'Plan prihoda za unos u SAP'!$K$3:$K$501,"=634")</f>
        <v>0</v>
      </c>
      <c r="P13" s="162">
        <f>SUMIFS('Plan prihoda za unos u SAP'!$G$3:$G$501,'Plan prihoda za unos u SAP'!$C$3:$C$501,"=81",'Plan prihoda za unos u SAP'!$K$3:$K$501,"=634")</f>
        <v>0</v>
      </c>
    </row>
    <row r="14" spans="1:22" s="91" customFormat="1">
      <c r="A14" s="199" t="s">
        <v>382</v>
      </c>
      <c r="B14" s="97" t="s">
        <v>383</v>
      </c>
      <c r="C14" s="71">
        <f t="shared" si="5"/>
        <v>12000</v>
      </c>
      <c r="D14" s="162">
        <f>SUMIFS('Plan prihoda za unos u SAP'!$G$3:$G$501,'Plan prihoda za unos u SAP'!$C$3:$C$501,"=11",'Plan prihoda za unos u SAP'!$K$3:$K$501,"=636")</f>
        <v>0</v>
      </c>
      <c r="E14" s="162">
        <f>SUMIFS('Plan prihoda za unos u SAP'!$G$3:$G$501,'Plan prihoda za unos u SAP'!$C$3:$C$501,"=12",'Plan prihoda za unos u SAP'!$K$3:$K$501,"=636")</f>
        <v>0</v>
      </c>
      <c r="F14" s="162">
        <f>SUMIFS('Plan prihoda za unos u SAP'!$G$3:$G$501,'Plan prihoda za unos u SAP'!$C$3:$C$501,"=31",'Plan prihoda za unos u SAP'!$K$3:$K$501,"=636")</f>
        <v>0</v>
      </c>
      <c r="G14" s="162">
        <f>SUMIFS('Plan prihoda za unos u SAP'!$G$3:$G$501,'Plan prihoda za unos u SAP'!$C$3:$C$501,"=43",'Plan prihoda za unos u SAP'!$K$3:$K$501,"=636")</f>
        <v>0</v>
      </c>
      <c r="H14" s="162">
        <f>SUMIFS('Plan prihoda za unos u SAP'!$G$3:$G$501,'Plan prihoda za unos u SAP'!$C$3:$C$501,"=51",'Plan prihoda za unos u SAP'!$K$3:$K$501,"=636")</f>
        <v>0</v>
      </c>
      <c r="I14" s="162">
        <f>SUMIFS('Plan prihoda za unos u SAP'!$G$3:$G$501,'Plan prihoda za unos u SAP'!$C$3:$C$501,"=52",'Plan prihoda za unos u SAP'!$K$3:$K$501,"=636")</f>
        <v>12000</v>
      </c>
      <c r="J14" s="162">
        <f>SUMIFS('Plan prihoda za unos u SAP'!$G$3:$G$501,'Plan prihoda za unos u SAP'!$C$3:$C$501,"=559",'Plan prihoda za unos u SAP'!$K$3:$K$501,"=636")</f>
        <v>0</v>
      </c>
      <c r="K14" s="162">
        <f>SUMIFS('Plan prihoda za unos u SAP'!$G$3:$G$501,'Plan prihoda za unos u SAP'!$C$3:$C$501,"=561",'Plan prihoda za unos u SAP'!$K$3:$K$501,"=636")</f>
        <v>0</v>
      </c>
      <c r="L14" s="162">
        <f>SUMIFS('Plan prihoda za unos u SAP'!$G$3:$G$501,'Plan prihoda za unos u SAP'!$C$3:$C$501,"=563",'Plan prihoda za unos u SAP'!$K$3:$K$501,"=636")</f>
        <v>0</v>
      </c>
      <c r="M14" s="162">
        <f>SUMIFS('Plan prihoda za unos u SAP'!$G$3:$G$501,'Plan prihoda za unos u SAP'!$C$3:$C$501,"=61",'Plan prihoda za unos u SAP'!$K$3:$K$501,"=636")</f>
        <v>0</v>
      </c>
      <c r="N14" s="162">
        <f>SUMIFS('Plan prihoda za unos u SAP'!$G$3:$G$501,'Plan prihoda za unos u SAP'!$C$3:$C$501,"=63",'Plan prihoda za unos u SAP'!$K$3:$K$501,"=636")</f>
        <v>0</v>
      </c>
      <c r="O14" s="162">
        <f>SUMIFS('Plan prihoda za unos u SAP'!$G$3:$G$501,'Plan prihoda za unos u SAP'!$C$3:$C$501,"=71",'Plan prihoda za unos u SAP'!$K$3:$K$501,"=636")</f>
        <v>0</v>
      </c>
      <c r="P14" s="162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293</v>
      </c>
      <c r="B15" s="97" t="s">
        <v>294</v>
      </c>
      <c r="C15" s="71">
        <f>SUM(D15:P15)</f>
        <v>0</v>
      </c>
      <c r="D15" s="162">
        <f>SUMIFS('Plan prihoda za unos u SAP'!$G$3:$G$501,'Plan prihoda za unos u SAP'!$C$3:$C$501,"=11",'Plan prihoda za unos u SAP'!$K$3:$K$501,"=638")</f>
        <v>0</v>
      </c>
      <c r="E15" s="162">
        <f>SUMIFS('Plan prihoda za unos u SAP'!$G$3:$G$501,'Plan prihoda za unos u SAP'!$C$3:$C$501,"=12",'Plan prihoda za unos u SAP'!$K$3:$K$501,"=638")</f>
        <v>0</v>
      </c>
      <c r="F15" s="162">
        <f>SUMIFS('Plan prihoda za unos u SAP'!$G$3:$G$501,'Plan prihoda za unos u SAP'!$C$3:$C$501,"=31",'Plan prihoda za unos u SAP'!$K$3:$K$501,"=638")</f>
        <v>0</v>
      </c>
      <c r="G15" s="162">
        <f>SUMIFS('Plan prihoda za unos u SAP'!$G$3:$G$501,'Plan prihoda za unos u SAP'!$C$3:$C$501,"=43",'Plan prihoda za unos u SAP'!$K$3:$K$501,"=638")</f>
        <v>0</v>
      </c>
      <c r="H15" s="162">
        <f>SUMIFS('Plan prihoda za unos u SAP'!$G$3:$G$501,'Plan prihoda za unos u SAP'!$C$3:$C$501,"=51",'Plan prihoda za unos u SAP'!$K$3:$K$501,"=638")</f>
        <v>0</v>
      </c>
      <c r="I15" s="162">
        <f>SUMIFS('Plan prihoda za unos u SAP'!$G$3:$G$501,'Plan prihoda za unos u SAP'!$C$3:$C$501,"=52",'Plan prihoda za unos u SAP'!$K$3:$K$501,"=638")</f>
        <v>0</v>
      </c>
      <c r="J15" s="162">
        <f>SUMIFS('Plan prihoda za unos u SAP'!$G$3:$G$501,'Plan prihoda za unos u SAP'!$C$3:$C$501,"=559",'Plan prihoda za unos u SAP'!$K$3:$K$501,"=638")</f>
        <v>0</v>
      </c>
      <c r="K15" s="162">
        <f>SUMIFS('Plan prihoda za unos u SAP'!$G$3:$G$501,'Plan prihoda za unos u SAP'!$C$3:$C$501,"=561",'Plan prihoda za unos u SAP'!$K$3:$K$501,"=638")</f>
        <v>0</v>
      </c>
      <c r="L15" s="162">
        <f>SUMIFS('Plan prihoda za unos u SAP'!$G$3:$G$501,'Plan prihoda za unos u SAP'!$C$3:$C$501,"=563",'Plan prihoda za unos u SAP'!$K$3:$K$501,"=638")</f>
        <v>0</v>
      </c>
      <c r="M15" s="162">
        <f>SUMIFS('Plan prihoda za unos u SAP'!$G$3:$G$501,'Plan prihoda za unos u SAP'!$C$3:$C$501,"=61",'Plan prihoda za unos u SAP'!$K$3:$K$501,"=638")</f>
        <v>0</v>
      </c>
      <c r="N15" s="162">
        <f>SUMIFS('Plan prihoda za unos u SAP'!$G$3:$G$501,'Plan prihoda za unos u SAP'!$C$3:$C$501,"=63",'Plan prihoda za unos u SAP'!$K$3:$K$501,"=638")</f>
        <v>0</v>
      </c>
      <c r="O15" s="162">
        <f>SUMIFS('Plan prihoda za unos u SAP'!$G$3:$G$501,'Plan prihoda za unos u SAP'!$C$3:$C$501,"=71",'Plan prihoda za unos u SAP'!$K$3:$K$501,"=638")</f>
        <v>0</v>
      </c>
      <c r="P15" s="162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295</v>
      </c>
      <c r="B16" s="97" t="s">
        <v>36</v>
      </c>
      <c r="C16" s="71">
        <f t="shared" si="5"/>
        <v>1958571</v>
      </c>
      <c r="D16" s="162">
        <f>SUMIFS('Plan prihoda za unos u SAP'!$G$3:$G$501,'Plan prihoda za unos u SAP'!$C$3:$C$501,"=11",'Plan prihoda za unos u SAP'!$K$3:$K$501,"=639")</f>
        <v>0</v>
      </c>
      <c r="E16" s="162">
        <f>SUMIFS('Plan prihoda za unos u SAP'!$G$3:$G$501,'Plan prihoda za unos u SAP'!$C$3:$C$501,"=12",'Plan prihoda za unos u SAP'!$K$3:$K$501,"=639")</f>
        <v>0</v>
      </c>
      <c r="F16" s="162">
        <f>SUMIFS('Plan prihoda za unos u SAP'!$G$3:$G$501,'Plan prihoda za unos u SAP'!$C$3:$C$501,"=31",'Plan prihoda za unos u SAP'!$K$3:$K$501,"=639")</f>
        <v>0</v>
      </c>
      <c r="G16" s="162">
        <f>SUMIFS('Plan prihoda za unos u SAP'!$G$3:$G$501,'Plan prihoda za unos u SAP'!$C$3:$C$501,"=43",'Plan prihoda za unos u SAP'!$K$3:$K$501,"=639")</f>
        <v>0</v>
      </c>
      <c r="H16" s="162">
        <f>SUMIFS('Plan prihoda za unos u SAP'!$G$3:$G$501,'Plan prihoda za unos u SAP'!$C$3:$C$501,"=51",'Plan prihoda za unos u SAP'!$K$3:$K$501,"=639")</f>
        <v>0</v>
      </c>
      <c r="I16" s="162">
        <f>SUMIFS('Plan prihoda za unos u SAP'!$G$3:$G$501,'Plan prihoda za unos u SAP'!$C$3:$C$501,"=52",'Plan prihoda za unos u SAP'!$K$3:$K$501,"=639")</f>
        <v>1958571</v>
      </c>
      <c r="J16" s="162">
        <f>SUMIFS('Plan prihoda za unos u SAP'!$G$3:$G$501,'Plan prihoda za unos u SAP'!$C$3:$C$501,"=559",'Plan prihoda za unos u SAP'!$K$3:$K$501,"=639")</f>
        <v>0</v>
      </c>
      <c r="K16" s="162">
        <f>SUMIFS('Plan prihoda za unos u SAP'!$G$3:$G$501,'Plan prihoda za unos u SAP'!$C$3:$C$501,"=561",'Plan prihoda za unos u SAP'!$K$3:$K$501,"=639")</f>
        <v>0</v>
      </c>
      <c r="L16" s="162">
        <f>SUMIFS('Plan prihoda za unos u SAP'!$G$3:$G$501,'Plan prihoda za unos u SAP'!$C$3:$C$501,"=563",'Plan prihoda za unos u SAP'!$K$3:$K$501,"=639")</f>
        <v>0</v>
      </c>
      <c r="M16" s="162">
        <f>SUMIFS('Plan prihoda za unos u SAP'!$G$3:$G$501,'Plan prihoda za unos u SAP'!$C$3:$C$501,"=61",'Plan prihoda za unos u SAP'!$K$3:$K$501,"=639")</f>
        <v>0</v>
      </c>
      <c r="N16" s="162">
        <f>SUMIFS('Plan prihoda za unos u SAP'!$G$3:$G$501,'Plan prihoda za unos u SAP'!$C$3:$C$501,"=63",'Plan prihoda za unos u SAP'!$K$3:$K$501,"=639")</f>
        <v>0</v>
      </c>
      <c r="O16" s="162">
        <f>SUMIFS('Plan prihoda za unos u SAP'!$G$3:$G$501,'Plan prihoda za unos u SAP'!$C$3:$C$501,"=71",'Plan prihoda za unos u SAP'!$K$3:$K$501,"=639")</f>
        <v>0</v>
      </c>
      <c r="P16" s="162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296</v>
      </c>
      <c r="B17" s="97" t="s">
        <v>297</v>
      </c>
      <c r="C17" s="71">
        <f t="shared" si="5"/>
        <v>5850</v>
      </c>
      <c r="D17" s="162">
        <f>SUMIFS('Plan prihoda za unos u SAP'!$G$3:$G$501,'Plan prihoda za unos u SAP'!$C$3:$C$501,"=11",'Plan prihoda za unos u SAP'!$K$3:$K$501,"=641")</f>
        <v>0</v>
      </c>
      <c r="E17" s="162">
        <f>SUMIFS('Plan prihoda za unos u SAP'!$G$3:$G$501,'Plan prihoda za unos u SAP'!$C$3:$C$501,"=12",'Plan prihoda za unos u SAP'!$K$3:$K$501,"=641")</f>
        <v>0</v>
      </c>
      <c r="F17" s="162">
        <f>SUMIFS('Plan prihoda za unos u SAP'!$G$3:$G$501,'Plan prihoda za unos u SAP'!$C$3:$C$501,"=31",'Plan prihoda za unos u SAP'!$K$3:$K$501,"=641")</f>
        <v>5850</v>
      </c>
      <c r="G17" s="162">
        <f>SUMIFS('Plan prihoda za unos u SAP'!$G$3:$G$501,'Plan prihoda za unos u SAP'!$C$3:$C$501,"=43",'Plan prihoda za unos u SAP'!$K$3:$K$501,"=641")</f>
        <v>0</v>
      </c>
      <c r="H17" s="162">
        <f>SUMIFS('Plan prihoda za unos u SAP'!$G$3:$G$501,'Plan prihoda za unos u SAP'!$C$3:$C$501,"=51",'Plan prihoda za unos u SAP'!$K$3:$K$501,"=641")</f>
        <v>0</v>
      </c>
      <c r="I17" s="162">
        <f>SUMIFS('Plan prihoda za unos u SAP'!$G$3:$G$501,'Plan prihoda za unos u SAP'!$C$3:$C$501,"=52",'Plan prihoda za unos u SAP'!$K$3:$K$501,"=641")</f>
        <v>0</v>
      </c>
      <c r="J17" s="162">
        <f>SUMIFS('Plan prihoda za unos u SAP'!$G$3:$G$501,'Plan prihoda za unos u SAP'!$C$3:$C$501,"=559",'Plan prihoda za unos u SAP'!$K$3:$K$501,"=641")</f>
        <v>0</v>
      </c>
      <c r="K17" s="162">
        <f>SUMIFS('Plan prihoda za unos u SAP'!$G$3:$G$501,'Plan prihoda za unos u SAP'!$C$3:$C$501,"=561",'Plan prihoda za unos u SAP'!$K$3:$K$501,"=641")</f>
        <v>0</v>
      </c>
      <c r="L17" s="162">
        <f>SUMIFS('Plan prihoda za unos u SAP'!$G$3:$G$501,'Plan prihoda za unos u SAP'!$C$3:$C$501,"=563",'Plan prihoda za unos u SAP'!$K$3:$K$501,"=641")</f>
        <v>0</v>
      </c>
      <c r="M17" s="162">
        <f>SUMIFS('Plan prihoda za unos u SAP'!$G$3:$G$501,'Plan prihoda za unos u SAP'!$C$3:$C$501,"=61",'Plan prihoda za unos u SAP'!$K$3:$K$501,"=641")</f>
        <v>0</v>
      </c>
      <c r="N17" s="162">
        <f>SUMIFS('Plan prihoda za unos u SAP'!$G$3:$G$501,'Plan prihoda za unos u SAP'!$C$3:$C$501,"=63",'Plan prihoda za unos u SAP'!$K$3:$K$501,"=641")</f>
        <v>0</v>
      </c>
      <c r="O17" s="162">
        <f>SUMIFS('Plan prihoda za unos u SAP'!$G$3:$G$501,'Plan prihoda za unos u SAP'!$C$3:$C$501,"=71",'Plan prihoda za unos u SAP'!$K$3:$K$501,"=641")</f>
        <v>0</v>
      </c>
      <c r="P17" s="162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298</v>
      </c>
      <c r="B18" s="97" t="s">
        <v>299</v>
      </c>
      <c r="C18" s="71">
        <f t="shared" si="5"/>
        <v>0</v>
      </c>
      <c r="D18" s="162">
        <f>SUMIFS('Plan prihoda za unos u SAP'!$G$3:$G$501,'Plan prihoda za unos u SAP'!$C$3:$C$501,"=11",'Plan prihoda za unos u SAP'!$K$3:$K$501,"=642")</f>
        <v>0</v>
      </c>
      <c r="E18" s="162">
        <f>SUMIFS('Plan prihoda za unos u SAP'!$G$3:$G$501,'Plan prihoda za unos u SAP'!$C$3:$C$501,"=12",'Plan prihoda za unos u SAP'!$K$3:$K$501,"=642")</f>
        <v>0</v>
      </c>
      <c r="F18" s="162">
        <f>SUMIFS('Plan prihoda za unos u SAP'!$G$3:$G$501,'Plan prihoda za unos u SAP'!$C$3:$C$501,"=31",'Plan prihoda za unos u SAP'!$K$3:$K$501,"=642")</f>
        <v>0</v>
      </c>
      <c r="G18" s="162">
        <f>SUMIFS('Plan prihoda za unos u SAP'!$G$3:$G$501,'Plan prihoda za unos u SAP'!$C$3:$C$501,"=43",'Plan prihoda za unos u SAP'!$K$3:$K$501,"=642")</f>
        <v>0</v>
      </c>
      <c r="H18" s="162">
        <f>SUMIFS('Plan prihoda za unos u SAP'!$G$3:$G$501,'Plan prihoda za unos u SAP'!$C$3:$C$501,"=51",'Plan prihoda za unos u SAP'!$K$3:$K$501,"=642")</f>
        <v>0</v>
      </c>
      <c r="I18" s="162">
        <f>SUMIFS('Plan prihoda za unos u SAP'!$G$3:$G$501,'Plan prihoda za unos u SAP'!$C$3:$C$501,"=52",'Plan prihoda za unos u SAP'!$K$3:$K$501,"=642")</f>
        <v>0</v>
      </c>
      <c r="J18" s="162">
        <f>SUMIFS('Plan prihoda za unos u SAP'!$G$3:$G$501,'Plan prihoda za unos u SAP'!$C$3:$C$501,"=559",'Plan prihoda za unos u SAP'!$K$3:$K$501,"=642")</f>
        <v>0</v>
      </c>
      <c r="K18" s="162">
        <f>SUMIFS('Plan prihoda za unos u SAP'!$G$3:$G$501,'Plan prihoda za unos u SAP'!$C$3:$C$501,"=561",'Plan prihoda za unos u SAP'!$K$3:$K$501,"=642")</f>
        <v>0</v>
      </c>
      <c r="L18" s="162">
        <f>SUMIFS('Plan prihoda za unos u SAP'!$G$3:$G$501,'Plan prihoda za unos u SAP'!$C$3:$C$501,"=563",'Plan prihoda za unos u SAP'!$K$3:$K$501,"=642")</f>
        <v>0</v>
      </c>
      <c r="M18" s="162">
        <f>SUMIFS('Plan prihoda za unos u SAP'!$G$3:$G$501,'Plan prihoda za unos u SAP'!$C$3:$C$501,"=61",'Plan prihoda za unos u SAP'!$K$3:$K$501,"=642")</f>
        <v>0</v>
      </c>
      <c r="N18" s="162">
        <f>SUMIFS('Plan prihoda za unos u SAP'!$G$3:$G$501,'Plan prihoda za unos u SAP'!$C$3:$C$501,"=63",'Plan prihoda za unos u SAP'!$K$3:$K$501,"=642")</f>
        <v>0</v>
      </c>
      <c r="O18" s="162">
        <f>SUMIFS('Plan prihoda za unos u SAP'!$G$3:$G$501,'Plan prihoda za unos u SAP'!$C$3:$C$501,"=71",'Plan prihoda za unos u SAP'!$K$3:$K$501,"=642")</f>
        <v>0</v>
      </c>
      <c r="P18" s="162">
        <f>SUMIFS('Plan prihoda za unos u SAP'!$G$3:$G$501,'Plan prihoda za unos u SAP'!$C$3:$C$501,"=81",'Plan prihoda za unos u SAP'!$K$3:$K$501,"=642")</f>
        <v>0</v>
      </c>
    </row>
    <row r="19" spans="1:16" s="91" customFormat="1">
      <c r="A19" s="199" t="s">
        <v>385</v>
      </c>
      <c r="B19" s="97" t="s">
        <v>384</v>
      </c>
      <c r="C19" s="71">
        <f t="shared" si="5"/>
        <v>0</v>
      </c>
      <c r="D19" s="162">
        <f>SUMIFS('Plan prihoda za unos u SAP'!$G$3:$G$501,'Plan prihoda za unos u SAP'!$C$3:$C$501,"=11",'Plan prihoda za unos u SAP'!$K$3:$K$501,"=651")</f>
        <v>0</v>
      </c>
      <c r="E19" s="162">
        <f>SUMIFS('Plan prihoda za unos u SAP'!$G$3:$G$501,'Plan prihoda za unos u SAP'!$C$3:$C$501,"=12",'Plan prihoda za unos u SAP'!$K$3:$K$501,"=651")</f>
        <v>0</v>
      </c>
      <c r="F19" s="162">
        <f>SUMIFS('Plan prihoda za unos u SAP'!$G$3:$G$501,'Plan prihoda za unos u SAP'!$C$3:$C$501,"=31",'Plan prihoda za unos u SAP'!$K$3:$K$501,"=651")</f>
        <v>0</v>
      </c>
      <c r="G19" s="162">
        <f>SUMIFS('Plan prihoda za unos u SAP'!$G$3:$G$501,'Plan prihoda za unos u SAP'!$C$3:$C$501,"=43",'Plan prihoda za unos u SAP'!$K$3:$K$501,"=651")</f>
        <v>0</v>
      </c>
      <c r="H19" s="162">
        <f>SUMIFS('Plan prihoda za unos u SAP'!$G$3:$G$501,'Plan prihoda za unos u SAP'!$C$3:$C$501,"=51",'Plan prihoda za unos u SAP'!$K$3:$K$501,"=651")</f>
        <v>0</v>
      </c>
      <c r="I19" s="162">
        <f>SUMIFS('Plan prihoda za unos u SAP'!$G$3:$G$501,'Plan prihoda za unos u SAP'!$C$3:$C$501,"=52",'Plan prihoda za unos u SAP'!$K$3:$K$501,"=651")</f>
        <v>0</v>
      </c>
      <c r="J19" s="162">
        <f>SUMIFS('Plan prihoda za unos u SAP'!$G$3:$G$501,'Plan prihoda za unos u SAP'!$C$3:$C$501,"=559",'Plan prihoda za unos u SAP'!$K$3:$K$501,"=651")</f>
        <v>0</v>
      </c>
      <c r="K19" s="162">
        <f>SUMIFS('Plan prihoda za unos u SAP'!$G$3:$G$501,'Plan prihoda za unos u SAP'!$C$3:$C$501,"=561",'Plan prihoda za unos u SAP'!$K$3:$K$501,"=651")</f>
        <v>0</v>
      </c>
      <c r="L19" s="162">
        <f>SUMIFS('Plan prihoda za unos u SAP'!$G$3:$G$501,'Plan prihoda za unos u SAP'!$C$3:$C$501,"=563",'Plan prihoda za unos u SAP'!$K$3:$K$501,"=651")</f>
        <v>0</v>
      </c>
      <c r="M19" s="162">
        <f>SUMIFS('Plan prihoda za unos u SAP'!$G$3:$G$501,'Plan prihoda za unos u SAP'!$C$3:$C$501,"=61",'Plan prihoda za unos u SAP'!$K$3:$K$501,"=651")</f>
        <v>0</v>
      </c>
      <c r="N19" s="162">
        <f>SUMIFS('Plan prihoda za unos u SAP'!$G$3:$G$501,'Plan prihoda za unos u SAP'!$C$3:$C$501,"=63",'Plan prihoda za unos u SAP'!$K$3:$K$501,"=651")</f>
        <v>0</v>
      </c>
      <c r="O19" s="162">
        <f>SUMIFS('Plan prihoda za unos u SAP'!$G$3:$G$501,'Plan prihoda za unos u SAP'!$C$3:$C$501,"=71",'Plan prihoda za unos u SAP'!$K$3:$K$501,"=651")</f>
        <v>0</v>
      </c>
      <c r="P19" s="162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300</v>
      </c>
      <c r="B20" s="97" t="s">
        <v>301</v>
      </c>
      <c r="C20" s="71">
        <f t="shared" si="5"/>
        <v>7930852</v>
      </c>
      <c r="D20" s="162">
        <f>SUMIFS('Plan prihoda za unos u SAP'!$G$3:$G$501,'Plan prihoda za unos u SAP'!$C$3:$C$501,"=11",'Plan prihoda za unos u SAP'!$K$3:$K$501,"=652")</f>
        <v>0</v>
      </c>
      <c r="E20" s="162">
        <f>SUMIFS('Plan prihoda za unos u SAP'!$G$3:$G$501,'Plan prihoda za unos u SAP'!$C$3:$C$501,"=12",'Plan prihoda za unos u SAP'!$K$3:$K$501,"=652")</f>
        <v>0</v>
      </c>
      <c r="F20" s="162">
        <f>SUMIFS('Plan prihoda za unos u SAP'!$G$3:$G$501,'Plan prihoda za unos u SAP'!$C$3:$C$501,"=31",'Plan prihoda za unos u SAP'!$K$3:$K$501,"=652")</f>
        <v>0</v>
      </c>
      <c r="G20" s="162">
        <f>SUMIFS('Plan prihoda za unos u SAP'!$G$3:$G$501,'Plan prihoda za unos u SAP'!$C$3:$C$501,"=43",'Plan prihoda za unos u SAP'!$K$3:$K$501,"=652")</f>
        <v>7930852</v>
      </c>
      <c r="H20" s="162">
        <f>SUMIFS('Plan prihoda za unos u SAP'!$G$3:$G$501,'Plan prihoda za unos u SAP'!$C$3:$C$501,"=51",'Plan prihoda za unos u SAP'!$K$3:$K$501,"=652")</f>
        <v>0</v>
      </c>
      <c r="I20" s="162">
        <f>SUMIFS('Plan prihoda za unos u SAP'!$G$3:$G$501,'Plan prihoda za unos u SAP'!$C$3:$C$501,"=52",'Plan prihoda za unos u SAP'!$K$3:$K$501,"=652")</f>
        <v>0</v>
      </c>
      <c r="J20" s="162">
        <f>SUMIFS('Plan prihoda za unos u SAP'!$G$3:$G$501,'Plan prihoda za unos u SAP'!$C$3:$C$501,"=559",'Plan prihoda za unos u SAP'!$K$3:$K$501,"=652")</f>
        <v>0</v>
      </c>
      <c r="K20" s="162">
        <f>SUMIFS('Plan prihoda za unos u SAP'!$G$3:$G$501,'Plan prihoda za unos u SAP'!$C$3:$C$501,"=561",'Plan prihoda za unos u SAP'!$K$3:$K$501,"=652")</f>
        <v>0</v>
      </c>
      <c r="L20" s="162">
        <f>SUMIFS('Plan prihoda za unos u SAP'!$G$3:$G$501,'Plan prihoda za unos u SAP'!$C$3:$C$501,"=563",'Plan prihoda za unos u SAP'!$K$3:$K$501,"=652")</f>
        <v>0</v>
      </c>
      <c r="M20" s="162">
        <f>SUMIFS('Plan prihoda za unos u SAP'!$G$3:$G$501,'Plan prihoda za unos u SAP'!$C$3:$C$501,"=61",'Plan prihoda za unos u SAP'!$K$3:$K$501,"=652")</f>
        <v>0</v>
      </c>
      <c r="N20" s="162">
        <f>SUMIFS('Plan prihoda za unos u SAP'!$G$3:$G$501,'Plan prihoda za unos u SAP'!$C$3:$C$501,"=63",'Plan prihoda za unos u SAP'!$K$3:$K$501,"=652")</f>
        <v>0</v>
      </c>
      <c r="O20" s="162">
        <f>SUMIFS('Plan prihoda za unos u SAP'!$G$3:$G$501,'Plan prihoda za unos u SAP'!$C$3:$C$501,"=71",'Plan prihoda za unos u SAP'!$K$3:$K$501,"=652")</f>
        <v>0</v>
      </c>
      <c r="P20" s="162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302</v>
      </c>
      <c r="B21" s="97" t="s">
        <v>303</v>
      </c>
      <c r="C21" s="71">
        <f t="shared" si="5"/>
        <v>1200300</v>
      </c>
      <c r="D21" s="162">
        <f>SUMIFS('Plan prihoda za unos u SAP'!$G$3:$G$501,'Plan prihoda za unos u SAP'!$C$3:$C$501,"=11",'Plan prihoda za unos u SAP'!$K$3:$K$501,"=661")</f>
        <v>0</v>
      </c>
      <c r="E21" s="162">
        <f>SUMIFS('Plan prihoda za unos u SAP'!$G$3:$G$501,'Plan prihoda za unos u SAP'!$C$3:$C$501,"=12",'Plan prihoda za unos u SAP'!$K$3:$K$501,"=661")</f>
        <v>0</v>
      </c>
      <c r="F21" s="162">
        <f>SUMIFS('Plan prihoda za unos u SAP'!$G$3:$G$501,'Plan prihoda za unos u SAP'!$C$3:$C$501,"=31",'Plan prihoda za unos u SAP'!$K$3:$K$501,"=661")</f>
        <v>1200300</v>
      </c>
      <c r="G21" s="162">
        <f>SUMIFS('Plan prihoda za unos u SAP'!$G$3:$G$501,'Plan prihoda za unos u SAP'!$C$3:$C$501,"=43",'Plan prihoda za unos u SAP'!$K$3:$K$501,"=661")</f>
        <v>0</v>
      </c>
      <c r="H21" s="162">
        <f>SUMIFS('Plan prihoda za unos u SAP'!$G$3:$G$501,'Plan prihoda za unos u SAP'!$C$3:$C$501,"=51",'Plan prihoda za unos u SAP'!$K$3:$K$501,"=661")</f>
        <v>0</v>
      </c>
      <c r="I21" s="162">
        <f>SUMIFS('Plan prihoda za unos u SAP'!$G$3:$G$501,'Plan prihoda za unos u SAP'!$C$3:$C$501,"=52",'Plan prihoda za unos u SAP'!$K$3:$K$501,"=661")</f>
        <v>0</v>
      </c>
      <c r="J21" s="162">
        <f>SUMIFS('Plan prihoda za unos u SAP'!$G$3:$G$501,'Plan prihoda za unos u SAP'!$C$3:$C$501,"=559",'Plan prihoda za unos u SAP'!$K$3:$K$501,"=661")</f>
        <v>0</v>
      </c>
      <c r="K21" s="162">
        <f>SUMIFS('Plan prihoda za unos u SAP'!$G$3:$G$501,'Plan prihoda za unos u SAP'!$C$3:$C$501,"=561",'Plan prihoda za unos u SAP'!$K$3:$K$501,"=661")</f>
        <v>0</v>
      </c>
      <c r="L21" s="162">
        <f>SUMIFS('Plan prihoda za unos u SAP'!$G$3:$G$501,'Plan prihoda za unos u SAP'!$C$3:$C$501,"=563",'Plan prihoda za unos u SAP'!$K$3:$K$501,"=661")</f>
        <v>0</v>
      </c>
      <c r="M21" s="162">
        <f>SUMIFS('Plan prihoda za unos u SAP'!$G$3:$G$501,'Plan prihoda za unos u SAP'!$C$3:$C$501,"=61",'Plan prihoda za unos u SAP'!$K$3:$K$501,"=661")</f>
        <v>0</v>
      </c>
      <c r="N21" s="162">
        <f>SUMIFS('Plan prihoda za unos u SAP'!$G$3:$G$501,'Plan prihoda za unos u SAP'!$C$3:$C$501,"=63",'Plan prihoda za unos u SAP'!$K$3:$K$501,"=661")</f>
        <v>0</v>
      </c>
      <c r="O21" s="162">
        <f>SUMIFS('Plan prihoda za unos u SAP'!$G$3:$G$501,'Plan prihoda za unos u SAP'!$C$3:$C$501,"=71",'Plan prihoda za unos u SAP'!$K$3:$K$501,"=661")</f>
        <v>0</v>
      </c>
      <c r="P21" s="162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304</v>
      </c>
      <c r="B22" s="97" t="s">
        <v>305</v>
      </c>
      <c r="C22" s="71">
        <f t="shared" si="5"/>
        <v>790873</v>
      </c>
      <c r="D22" s="162">
        <f>SUMIFS('Plan prihoda za unos u SAP'!$G$3:$G$501,'Plan prihoda za unos u SAP'!$C$3:$C$501,"=11",'Plan prihoda za unos u SAP'!$K$3:$K$501,"=663")</f>
        <v>0</v>
      </c>
      <c r="E22" s="162">
        <f>SUMIFS('Plan prihoda za unos u SAP'!$G$3:$G$501,'Plan prihoda za unos u SAP'!$C$3:$C$501,"=12",'Plan prihoda za unos u SAP'!$K$3:$K$501,"=663")</f>
        <v>0</v>
      </c>
      <c r="F22" s="162">
        <f>SUMIFS('Plan prihoda za unos u SAP'!$G$3:$G$501,'Plan prihoda za unos u SAP'!$C$3:$C$501,"=31",'Plan prihoda za unos u SAP'!$K$3:$K$501,"=663")</f>
        <v>0</v>
      </c>
      <c r="G22" s="162">
        <f>SUMIFS('Plan prihoda za unos u SAP'!$G$3:$G$501,'Plan prihoda za unos u SAP'!$C$3:$C$501,"=43",'Plan prihoda za unos u SAP'!$K$3:$K$501,"=663")</f>
        <v>0</v>
      </c>
      <c r="H22" s="162">
        <f>SUMIFS('Plan prihoda za unos u SAP'!$G$3:$G$501,'Plan prihoda za unos u SAP'!$C$3:$C$501,"=51",'Plan prihoda za unos u SAP'!$K$3:$K$501,"=663")</f>
        <v>0</v>
      </c>
      <c r="I22" s="162">
        <f>SUMIFS('Plan prihoda za unos u SAP'!$G$3:$G$501,'Plan prihoda za unos u SAP'!$C$3:$C$501,"=52",'Plan prihoda za unos u SAP'!$K$3:$K$501,"=663")</f>
        <v>0</v>
      </c>
      <c r="J22" s="162">
        <f>SUMIFS('Plan prihoda za unos u SAP'!$G$3:$G$501,'Plan prihoda za unos u SAP'!$C$3:$C$501,"=559",'Plan prihoda za unos u SAP'!$K$3:$K$501,"=663")</f>
        <v>0</v>
      </c>
      <c r="K22" s="162">
        <f>SUMIFS('Plan prihoda za unos u SAP'!$G$3:$G$501,'Plan prihoda za unos u SAP'!$C$3:$C$501,"=561",'Plan prihoda za unos u SAP'!$K$3:$K$501,"=663")</f>
        <v>0</v>
      </c>
      <c r="L22" s="162">
        <f>SUMIFS('Plan prihoda za unos u SAP'!$G$3:$G$501,'Plan prihoda za unos u SAP'!$C$3:$C$501,"=563",'Plan prihoda za unos u SAP'!$K$3:$K$501,"=663")</f>
        <v>0</v>
      </c>
      <c r="M22" s="162">
        <f>SUMIFS('Plan prihoda za unos u SAP'!$G$3:$G$501,'Plan prihoda za unos u SAP'!$C$3:$C$501,"=61",'Plan prihoda za unos u SAP'!$K$3:$K$501,"=663")</f>
        <v>790873</v>
      </c>
      <c r="N22" s="162">
        <f>SUMIFS('Plan prihoda za unos u SAP'!$G$3:$G$501,'Plan prihoda za unos u SAP'!$C$3:$C$501,"=63",'Plan prihoda za unos u SAP'!$K$3:$K$501,"=663")</f>
        <v>0</v>
      </c>
      <c r="O22" s="162">
        <f>SUMIFS('Plan prihoda za unos u SAP'!$G$3:$G$501,'Plan prihoda za unos u SAP'!$C$3:$C$501,"=71",'Plan prihoda za unos u SAP'!$K$3:$K$501,"=663")</f>
        <v>0</v>
      </c>
      <c r="P22" s="162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306</v>
      </c>
      <c r="B23" s="97" t="s">
        <v>266</v>
      </c>
      <c r="C23" s="71">
        <f t="shared" si="5"/>
        <v>80138012.542614892</v>
      </c>
      <c r="D23" s="162">
        <f>SUMIFS('Plan prihoda za unos u SAP'!$G$3:$G$501,'Plan prihoda za unos u SAP'!$C$3:$C$501,"=11",'Plan prihoda za unos u SAP'!$K$3:$K$501,"=671")</f>
        <v>57137099.542614892</v>
      </c>
      <c r="E23" s="162">
        <f>SUMIFS('Plan prihoda za unos u SAP'!$G$3:$G$501,'Plan prihoda za unos u SAP'!$C$3:$C$501,"=12",'Plan prihoda za unos u SAP'!$K$3:$K$501,"=671")</f>
        <v>23000913</v>
      </c>
      <c r="F23" s="162">
        <f>SUMIFS('Plan prihoda za unos u SAP'!$G$3:$G$501,'Plan prihoda za unos u SAP'!$C$3:$C$501,"=31",'Plan prihoda za unos u SAP'!$K$3:$K$501,"=671")</f>
        <v>0</v>
      </c>
      <c r="G23" s="162">
        <f>SUMIFS('Plan prihoda za unos u SAP'!$G$3:$G$501,'Plan prihoda za unos u SAP'!$C$3:$C$501,"=43",'Plan prihoda za unos u SAP'!$K$3:$K$501,"=671")</f>
        <v>0</v>
      </c>
      <c r="H23" s="162">
        <f>SUMIFS('Plan prihoda za unos u SAP'!$G$3:$G$501,'Plan prihoda za unos u SAP'!$C$3:$C$501,"=51",'Plan prihoda za unos u SAP'!$K$3:$K$501,"=671")</f>
        <v>0</v>
      </c>
      <c r="I23" s="162">
        <f>SUMIFS('Plan prihoda za unos u SAP'!$G$3:$G$501,'Plan prihoda za unos u SAP'!$C$3:$C$501,"=52",'Plan prihoda za unos u SAP'!$K$3:$K$501,"=671")</f>
        <v>0</v>
      </c>
      <c r="J23" s="162">
        <f>SUMIFS('Plan prihoda za unos u SAP'!$G$3:$G$501,'Plan prihoda za unos u SAP'!$C$3:$C$501,"=559",'Plan prihoda za unos u SAP'!$K$3:$K$501,"=671")</f>
        <v>0</v>
      </c>
      <c r="K23" s="162">
        <f>SUMIFS('Plan prihoda za unos u SAP'!$G$3:$G$501,'Plan prihoda za unos u SAP'!$C$3:$C$501,"=561",'Plan prihoda za unos u SAP'!$K$3:$K$501,"=671")</f>
        <v>0</v>
      </c>
      <c r="L23" s="162">
        <f>SUMIFS('Plan prihoda za unos u SAP'!$G$3:$G$501,'Plan prihoda za unos u SAP'!$C$3:$C$501,"=563",'Plan prihoda za unos u SAP'!$K$3:$K$501,"=671")</f>
        <v>0</v>
      </c>
      <c r="M23" s="162">
        <f>SUMIFS('Plan prihoda za unos u SAP'!$G$3:$G$501,'Plan prihoda za unos u SAP'!$C$3:$C$501,"=61",'Plan prihoda za unos u SAP'!$K$3:$K$501,"=671")</f>
        <v>0</v>
      </c>
      <c r="N23" s="162">
        <f>SUMIFS('Plan prihoda za unos u SAP'!$G$3:$G$501,'Plan prihoda za unos u SAP'!$C$3:$C$501,"=63",'Plan prihoda za unos u SAP'!$K$3:$K$501,"=671")</f>
        <v>0</v>
      </c>
      <c r="O23" s="162">
        <f>SUMIFS('Plan prihoda za unos u SAP'!$G$3:$G$501,'Plan prihoda za unos u SAP'!$C$3:$C$501,"=71",'Plan prihoda za unos u SAP'!$K$3:$K$501,"=671")</f>
        <v>0</v>
      </c>
      <c r="P23" s="162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307</v>
      </c>
      <c r="B24" s="97" t="s">
        <v>308</v>
      </c>
      <c r="C24" s="71">
        <f t="shared" si="5"/>
        <v>0</v>
      </c>
      <c r="D24" s="162">
        <f>SUMIFS('Plan prihoda za unos u SAP'!$G$3:$G$501,'Plan prihoda za unos u SAP'!$C$3:$C$501,"=11",'Plan prihoda za unos u SAP'!$K$3:$K$501,"=681")</f>
        <v>0</v>
      </c>
      <c r="E24" s="162">
        <f>SUMIFS('Plan prihoda za unos u SAP'!$G$3:$G$501,'Plan prihoda za unos u SAP'!$C$3:$C$501,"=12",'Plan prihoda za unos u SAP'!$K$3:$K$501,"=681")</f>
        <v>0</v>
      </c>
      <c r="F24" s="162">
        <f>SUMIFS('Plan prihoda za unos u SAP'!$G$3:$G$501,'Plan prihoda za unos u SAP'!$C$3:$C$501,"=31",'Plan prihoda za unos u SAP'!$K$3:$K$501,"=681")</f>
        <v>0</v>
      </c>
      <c r="G24" s="162">
        <f>SUMIFS('Plan prihoda za unos u SAP'!$G$3:$G$501,'Plan prihoda za unos u SAP'!$C$3:$C$501,"=43",'Plan prihoda za unos u SAP'!$K$3:$K$501,"=681")</f>
        <v>0</v>
      </c>
      <c r="H24" s="162">
        <f>SUMIFS('Plan prihoda za unos u SAP'!$G$3:$G$501,'Plan prihoda za unos u SAP'!$C$3:$C$501,"=51",'Plan prihoda za unos u SAP'!$K$3:$K$501,"=681")</f>
        <v>0</v>
      </c>
      <c r="I24" s="162">
        <f>SUMIFS('Plan prihoda za unos u SAP'!$G$3:$G$501,'Plan prihoda za unos u SAP'!$C$3:$C$501,"=52",'Plan prihoda za unos u SAP'!$K$3:$K$501,"=681")</f>
        <v>0</v>
      </c>
      <c r="J24" s="162">
        <f>SUMIFS('Plan prihoda za unos u SAP'!$G$3:$G$501,'Plan prihoda za unos u SAP'!$C$3:$C$501,"=559",'Plan prihoda za unos u SAP'!$K$3:$K$501,"=681")</f>
        <v>0</v>
      </c>
      <c r="K24" s="162">
        <f>SUMIFS('Plan prihoda za unos u SAP'!$G$3:$G$501,'Plan prihoda za unos u SAP'!$C$3:$C$501,"=561",'Plan prihoda za unos u SAP'!$K$3:$K$501,"=681")</f>
        <v>0</v>
      </c>
      <c r="L24" s="162">
        <f>SUMIFS('Plan prihoda za unos u SAP'!$G$3:$G$501,'Plan prihoda za unos u SAP'!$C$3:$C$501,"=563",'Plan prihoda za unos u SAP'!$K$3:$K$501,"=681")</f>
        <v>0</v>
      </c>
      <c r="M24" s="162">
        <f>SUMIFS('Plan prihoda za unos u SAP'!$G$3:$G$501,'Plan prihoda za unos u SAP'!$C$3:$C$501,"=61",'Plan prihoda za unos u SAP'!$K$3:$K$501,"=681")</f>
        <v>0</v>
      </c>
      <c r="N24" s="162">
        <f>SUMIFS('Plan prihoda za unos u SAP'!$G$3:$G$501,'Plan prihoda za unos u SAP'!$C$3:$C$501,"=63",'Plan prihoda za unos u SAP'!$K$3:$K$501,"=681")</f>
        <v>0</v>
      </c>
      <c r="O24" s="162">
        <f>SUMIFS('Plan prihoda za unos u SAP'!$G$3:$G$501,'Plan prihoda za unos u SAP'!$C$3:$C$501,"=71",'Plan prihoda za unos u SAP'!$K$3:$K$501,"=681")</f>
        <v>0</v>
      </c>
      <c r="P24" s="162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309</v>
      </c>
      <c r="B25" s="97" t="s">
        <v>310</v>
      </c>
      <c r="C25" s="71">
        <f t="shared" si="5"/>
        <v>0</v>
      </c>
      <c r="D25" s="162">
        <f>SUMIFS('Plan prihoda za unos u SAP'!$G$3:$G$501,'Plan prihoda za unos u SAP'!$C$3:$C$501,"=11",'Plan prihoda za unos u SAP'!$K$3:$K$501,"=683")</f>
        <v>0</v>
      </c>
      <c r="E25" s="162">
        <f>SUMIFS('Plan prihoda za unos u SAP'!$G$3:$G$501,'Plan prihoda za unos u SAP'!$C$3:$C$501,"=12",'Plan prihoda za unos u SAP'!$K$3:$K$501,"=683")</f>
        <v>0</v>
      </c>
      <c r="F25" s="162">
        <f>SUMIFS('Plan prihoda za unos u SAP'!$G$3:$G$501,'Plan prihoda za unos u SAP'!$C$3:$C$501,"=31",'Plan prihoda za unos u SAP'!$K$3:$K$501,"=683")</f>
        <v>0</v>
      </c>
      <c r="G25" s="162">
        <f>SUMIFS('Plan prihoda za unos u SAP'!$G$3:$G$501,'Plan prihoda za unos u SAP'!$C$3:$C$501,"=43",'Plan prihoda za unos u SAP'!$K$3:$K$501,"=683")</f>
        <v>0</v>
      </c>
      <c r="H25" s="162">
        <f>SUMIFS('Plan prihoda za unos u SAP'!$G$3:$G$501,'Plan prihoda za unos u SAP'!$C$3:$C$501,"=51",'Plan prihoda za unos u SAP'!$K$3:$K$501,"=683")</f>
        <v>0</v>
      </c>
      <c r="I25" s="162">
        <f>SUMIFS('Plan prihoda za unos u SAP'!$G$3:$G$501,'Plan prihoda za unos u SAP'!$C$3:$C$501,"=52",'Plan prihoda za unos u SAP'!$K$3:$K$501,"=683")</f>
        <v>0</v>
      </c>
      <c r="J25" s="162">
        <f>SUMIFS('Plan prihoda za unos u SAP'!$G$3:$G$501,'Plan prihoda za unos u SAP'!$C$3:$C$501,"=559",'Plan prihoda za unos u SAP'!$K$3:$K$501,"=683")</f>
        <v>0</v>
      </c>
      <c r="K25" s="162">
        <f>SUMIFS('Plan prihoda za unos u SAP'!$G$3:$G$501,'Plan prihoda za unos u SAP'!$C$3:$C$501,"=561",'Plan prihoda za unos u SAP'!$K$3:$K$501,"=683")</f>
        <v>0</v>
      </c>
      <c r="L25" s="162">
        <f>SUMIFS('Plan prihoda za unos u SAP'!$G$3:$G$501,'Plan prihoda za unos u SAP'!$C$3:$C$501,"=563",'Plan prihoda za unos u SAP'!$K$3:$K$501,"=683")</f>
        <v>0</v>
      </c>
      <c r="M25" s="162">
        <f>SUMIFS('Plan prihoda za unos u SAP'!$G$3:$G$501,'Plan prihoda za unos u SAP'!$C$3:$C$501,"=61",'Plan prihoda za unos u SAP'!$K$3:$K$501,"=683")</f>
        <v>0</v>
      </c>
      <c r="N25" s="162">
        <f>SUMIFS('Plan prihoda za unos u SAP'!$G$3:$G$501,'Plan prihoda za unos u SAP'!$C$3:$C$501,"=63",'Plan prihoda za unos u SAP'!$K$3:$K$501,"=683")</f>
        <v>0</v>
      </c>
      <c r="O25" s="162">
        <f>SUMIFS('Plan prihoda za unos u SAP'!$G$3:$G$501,'Plan prihoda za unos u SAP'!$C$3:$C$501,"=71",'Plan prihoda za unos u SAP'!$K$3:$K$501,"=683")</f>
        <v>0</v>
      </c>
      <c r="P25" s="162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311</v>
      </c>
      <c r="B26" s="100" t="s">
        <v>312</v>
      </c>
      <c r="C26" s="71">
        <f>SUM(D26:P26)</f>
        <v>167876127.54261488</v>
      </c>
      <c r="D26" s="4">
        <f t="shared" ref="D26:P26" si="6">SUM(D11:D25)</f>
        <v>57137099.542614892</v>
      </c>
      <c r="E26" s="4">
        <f t="shared" si="6"/>
        <v>23000913</v>
      </c>
      <c r="F26" s="4">
        <f t="shared" si="6"/>
        <v>1206150</v>
      </c>
      <c r="G26" s="4">
        <f t="shared" si="6"/>
        <v>7930852</v>
      </c>
      <c r="H26" s="4">
        <f t="shared" si="6"/>
        <v>0</v>
      </c>
      <c r="I26" s="4">
        <f t="shared" si="6"/>
        <v>1970571</v>
      </c>
      <c r="J26" s="4">
        <f t="shared" si="6"/>
        <v>0</v>
      </c>
      <c r="K26" s="4">
        <f t="shared" si="6"/>
        <v>0</v>
      </c>
      <c r="L26" s="4">
        <f t="shared" si="6"/>
        <v>75839669</v>
      </c>
      <c r="M26" s="4">
        <f t="shared" si="6"/>
        <v>790873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324</v>
      </c>
      <c r="B27" s="101" t="s">
        <v>325</v>
      </c>
      <c r="C27" s="71">
        <f t="shared" si="5"/>
        <v>0</v>
      </c>
      <c r="D27" s="162">
        <f>SUMIFS('Plan prihoda za unos u SAP'!$G$3:$G$501,'Plan prihoda za unos u SAP'!$C$3:$C$501,"=11",'Plan prihoda za unos u SAP'!$K$3:$K$501,"=711")</f>
        <v>0</v>
      </c>
      <c r="E27" s="162">
        <f>SUMIFS('Plan prihoda za unos u SAP'!$G$3:$G$501,'Plan prihoda za unos u SAP'!$C$3:$C$501,"=12",'Plan prihoda za unos u SAP'!$K$3:$K$501,"=711")</f>
        <v>0</v>
      </c>
      <c r="F27" s="162">
        <f>SUMIFS('Plan prihoda za unos u SAP'!$G$3:$G$501,'Plan prihoda za unos u SAP'!$C$3:$C$501,"=31",'Plan prihoda za unos u SAP'!$K$3:$K$501,"=711")</f>
        <v>0</v>
      </c>
      <c r="G27" s="162">
        <f>SUMIFS('Plan prihoda za unos u SAP'!$G$3:$G$501,'Plan prihoda za unos u SAP'!$C$3:$C$501,"=43",'Plan prihoda za unos u SAP'!$K$3:$K$501,"=711")</f>
        <v>0</v>
      </c>
      <c r="H27" s="162">
        <f>SUMIFS('Plan prihoda za unos u SAP'!$G$3:$G$501,'Plan prihoda za unos u SAP'!$C$3:$C$501,"=51",'Plan prihoda za unos u SAP'!$K$3:$K$501,"=711")</f>
        <v>0</v>
      </c>
      <c r="I27" s="162">
        <f>SUMIFS('Plan prihoda za unos u SAP'!$G$3:$G$501,'Plan prihoda za unos u SAP'!$C$3:$C$501,"=52",'Plan prihoda za unos u SAP'!$K$3:$K$501,"=711")</f>
        <v>0</v>
      </c>
      <c r="J27" s="162">
        <f>SUMIFS('Plan prihoda za unos u SAP'!$G$3:$G$501,'Plan prihoda za unos u SAP'!$C$3:$C$501,"=559",'Plan prihoda za unos u SAP'!$K$3:$K$501,"=711")</f>
        <v>0</v>
      </c>
      <c r="K27" s="162">
        <f>SUMIFS('Plan prihoda za unos u SAP'!$G$3:$G$501,'Plan prihoda za unos u SAP'!$C$3:$C$501,"=561",'Plan prihoda za unos u SAP'!$K$3:$K$501,"=711")</f>
        <v>0</v>
      </c>
      <c r="L27" s="162">
        <f>SUMIFS('Plan prihoda za unos u SAP'!$G$3:$G$501,'Plan prihoda za unos u SAP'!$C$3:$C$501,"=563",'Plan prihoda za unos u SAP'!$K$3:$K$501,"=711")</f>
        <v>0</v>
      </c>
      <c r="M27" s="162">
        <f>SUMIFS('Plan prihoda za unos u SAP'!$G$3:$G$501,'Plan prihoda za unos u SAP'!$C$3:$C$501,"=61",'Plan prihoda za unos u SAP'!$K$3:$K$501,"=711")</f>
        <v>0</v>
      </c>
      <c r="N27" s="162">
        <f>SUMIFS('Plan prihoda za unos u SAP'!$G$3:$G$501,'Plan prihoda za unos u SAP'!$C$3:$C$501,"=63",'Plan prihoda za unos u SAP'!$K$3:$K$501,"=711")</f>
        <v>0</v>
      </c>
      <c r="O27" s="162">
        <f>SUMIFS('Plan prihoda za unos u SAP'!$G$3:$G$501,'Plan prihoda za unos u SAP'!$C$3:$C$501,"=71",'Plan prihoda za unos u SAP'!$K$3:$K$501,"=711")</f>
        <v>0</v>
      </c>
      <c r="P27" s="162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326</v>
      </c>
      <c r="B28" s="101" t="s">
        <v>327</v>
      </c>
      <c r="C28" s="71">
        <f t="shared" si="5"/>
        <v>0</v>
      </c>
      <c r="D28" s="162">
        <f>SUMIFS('Plan prihoda za unos u SAP'!$G$3:$G$501,'Plan prihoda za unos u SAP'!$C$3:$C$501,"=11",'Plan prihoda za unos u SAP'!$K$3:$K$501,"=712")</f>
        <v>0</v>
      </c>
      <c r="E28" s="162">
        <f>SUMIFS('Plan prihoda za unos u SAP'!$G$3:$G$501,'Plan prihoda za unos u SAP'!$C$3:$C$501,"=12",'Plan prihoda za unos u SAP'!$K$3:$K$501,"=712")</f>
        <v>0</v>
      </c>
      <c r="F28" s="162">
        <f>SUMIFS('Plan prihoda za unos u SAP'!$G$3:$G$501,'Plan prihoda za unos u SAP'!$C$3:$C$501,"=31",'Plan prihoda za unos u SAP'!$K$3:$K$501,"=712")</f>
        <v>0</v>
      </c>
      <c r="G28" s="162">
        <f>SUMIFS('Plan prihoda za unos u SAP'!$G$3:$G$501,'Plan prihoda za unos u SAP'!$C$3:$C$501,"=43",'Plan prihoda za unos u SAP'!$K$3:$K$501,"=712")</f>
        <v>0</v>
      </c>
      <c r="H28" s="162">
        <f>SUMIFS('Plan prihoda za unos u SAP'!$G$3:$G$501,'Plan prihoda za unos u SAP'!$C$3:$C$501,"=51",'Plan prihoda za unos u SAP'!$K$3:$K$501,"=712")</f>
        <v>0</v>
      </c>
      <c r="I28" s="162">
        <f>SUMIFS('Plan prihoda za unos u SAP'!$G$3:$G$501,'Plan prihoda za unos u SAP'!$C$3:$C$501,"=52",'Plan prihoda za unos u SAP'!$K$3:$K$501,"=712")</f>
        <v>0</v>
      </c>
      <c r="J28" s="162">
        <f>SUMIFS('Plan prihoda za unos u SAP'!$G$3:$G$501,'Plan prihoda za unos u SAP'!$C$3:$C$501,"=559",'Plan prihoda za unos u SAP'!$K$3:$K$501,"=712")</f>
        <v>0</v>
      </c>
      <c r="K28" s="162">
        <f>SUMIFS('Plan prihoda za unos u SAP'!$G$3:$G$501,'Plan prihoda za unos u SAP'!$C$3:$C$501,"=561",'Plan prihoda za unos u SAP'!$K$3:$K$501,"=712")</f>
        <v>0</v>
      </c>
      <c r="L28" s="162">
        <f>SUMIFS('Plan prihoda za unos u SAP'!$G$3:$G$501,'Plan prihoda za unos u SAP'!$C$3:$C$501,"=563",'Plan prihoda za unos u SAP'!$K$3:$K$501,"=712")</f>
        <v>0</v>
      </c>
      <c r="M28" s="162">
        <f>SUMIFS('Plan prihoda za unos u SAP'!$G$3:$G$501,'Plan prihoda za unos u SAP'!$C$3:$C$501,"=61",'Plan prihoda za unos u SAP'!$K$3:$K$501,"=712")</f>
        <v>0</v>
      </c>
      <c r="N28" s="162">
        <f>SUMIFS('Plan prihoda za unos u SAP'!$G$3:$G$501,'Plan prihoda za unos u SAP'!$C$3:$C$501,"=63",'Plan prihoda za unos u SAP'!$K$3:$K$501,"=712")</f>
        <v>0</v>
      </c>
      <c r="O28" s="162">
        <f>SUMIFS('Plan prihoda za unos u SAP'!$G$3:$G$501,'Plan prihoda za unos u SAP'!$C$3:$C$501,"=71",'Plan prihoda za unos u SAP'!$K$3:$K$501,"=712")</f>
        <v>0</v>
      </c>
      <c r="P28" s="162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313</v>
      </c>
      <c r="B29" s="101" t="s">
        <v>314</v>
      </c>
      <c r="C29" s="71">
        <f t="shared" si="5"/>
        <v>0</v>
      </c>
      <c r="D29" s="162">
        <f>SUMIFS('Plan prihoda za unos u SAP'!$G$3:$G$501,'Plan prihoda za unos u SAP'!$C$3:$C$501,"=11",'Plan prihoda za unos u SAP'!$K$3:$K$501,"=721")</f>
        <v>0</v>
      </c>
      <c r="E29" s="162">
        <f>SUMIFS('Plan prihoda za unos u SAP'!$G$3:$G$501,'Plan prihoda za unos u SAP'!$C$3:$C$501,"=12",'Plan prihoda za unos u SAP'!$K$3:$K$501,"=721")</f>
        <v>0</v>
      </c>
      <c r="F29" s="162">
        <f>SUMIFS('Plan prihoda za unos u SAP'!$G$3:$G$501,'Plan prihoda za unos u SAP'!$C$3:$C$501,"=31",'Plan prihoda za unos u SAP'!$K$3:$K$501,"=721")</f>
        <v>0</v>
      </c>
      <c r="G29" s="162">
        <f>SUMIFS('Plan prihoda za unos u SAP'!$G$3:$G$501,'Plan prihoda za unos u SAP'!$C$3:$C$501,"=43",'Plan prihoda za unos u SAP'!$K$3:$K$501,"=721")</f>
        <v>0</v>
      </c>
      <c r="H29" s="162">
        <f>SUMIFS('Plan prihoda za unos u SAP'!$G$3:$G$501,'Plan prihoda za unos u SAP'!$C$3:$C$501,"=51",'Plan prihoda za unos u SAP'!$K$3:$K$501,"=721")</f>
        <v>0</v>
      </c>
      <c r="I29" s="162">
        <f>SUMIFS('Plan prihoda za unos u SAP'!$G$3:$G$501,'Plan prihoda za unos u SAP'!$C$3:$C$501,"=52",'Plan prihoda za unos u SAP'!$K$3:$K$501,"=721")</f>
        <v>0</v>
      </c>
      <c r="J29" s="162">
        <f>SUMIFS('Plan prihoda za unos u SAP'!$G$3:$G$501,'Plan prihoda za unos u SAP'!$C$3:$C$501,"=559",'Plan prihoda za unos u SAP'!$K$3:$K$501,"=721")</f>
        <v>0</v>
      </c>
      <c r="K29" s="162">
        <f>SUMIFS('Plan prihoda za unos u SAP'!$G$3:$G$501,'Plan prihoda za unos u SAP'!$C$3:$C$501,"=561",'Plan prihoda za unos u SAP'!$K$3:$K$501,"=721")</f>
        <v>0</v>
      </c>
      <c r="L29" s="162">
        <f>SUMIFS('Plan prihoda za unos u SAP'!$G$3:$G$501,'Plan prihoda za unos u SAP'!$C$3:$C$501,"=563",'Plan prihoda za unos u SAP'!$K$3:$K$501,"=721")</f>
        <v>0</v>
      </c>
      <c r="M29" s="162">
        <f>SUMIFS('Plan prihoda za unos u SAP'!$G$3:$G$501,'Plan prihoda za unos u SAP'!$C$3:$C$501,"=61",'Plan prihoda za unos u SAP'!$K$3:$K$501,"=721")</f>
        <v>0</v>
      </c>
      <c r="N29" s="162">
        <f>SUMIFS('Plan prihoda za unos u SAP'!$G$3:$G$501,'Plan prihoda za unos u SAP'!$C$3:$C$501,"=63",'Plan prihoda za unos u SAP'!$K$3:$K$501,"=721")</f>
        <v>0</v>
      </c>
      <c r="O29" s="162">
        <f>SUMIFS('Plan prihoda za unos u SAP'!$G$3:$G$501,'Plan prihoda za unos u SAP'!$C$3:$C$501,"=71",'Plan prihoda za unos u SAP'!$K$3:$K$501,"=721")</f>
        <v>0</v>
      </c>
      <c r="P29" s="162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315</v>
      </c>
      <c r="B30" s="101" t="s">
        <v>316</v>
      </c>
      <c r="C30" s="71">
        <f t="shared" si="5"/>
        <v>0</v>
      </c>
      <c r="D30" s="162">
        <f>SUMIFS('Plan prihoda za unos u SAP'!$G$3:$G$501,'Plan prihoda za unos u SAP'!$C$3:$C$501,"=11",'Plan prihoda za unos u SAP'!$K$3:$K$501,"=722")</f>
        <v>0</v>
      </c>
      <c r="E30" s="162">
        <f>SUMIFS('Plan prihoda za unos u SAP'!$G$3:$G$501,'Plan prihoda za unos u SAP'!$C$3:$C$501,"=12",'Plan prihoda za unos u SAP'!$K$3:$K$501,"=722")</f>
        <v>0</v>
      </c>
      <c r="F30" s="162">
        <f>SUMIFS('Plan prihoda za unos u SAP'!$G$3:$G$501,'Plan prihoda za unos u SAP'!$C$3:$C$501,"=31",'Plan prihoda za unos u SAP'!$K$3:$K$501,"=722")</f>
        <v>0</v>
      </c>
      <c r="G30" s="162">
        <f>SUMIFS('Plan prihoda za unos u SAP'!$G$3:$G$501,'Plan prihoda za unos u SAP'!$C$3:$C$501,"=43",'Plan prihoda za unos u SAP'!$K$3:$K$501,"=722")</f>
        <v>0</v>
      </c>
      <c r="H30" s="162">
        <f>SUMIFS('Plan prihoda za unos u SAP'!$G$3:$G$501,'Plan prihoda za unos u SAP'!$C$3:$C$501,"=51",'Plan prihoda za unos u SAP'!$K$3:$K$501,"=722")</f>
        <v>0</v>
      </c>
      <c r="I30" s="162">
        <f>SUMIFS('Plan prihoda za unos u SAP'!$G$3:$G$501,'Plan prihoda za unos u SAP'!$C$3:$C$501,"=52",'Plan prihoda za unos u SAP'!$K$3:$K$501,"=722")</f>
        <v>0</v>
      </c>
      <c r="J30" s="162">
        <f>SUMIFS('Plan prihoda za unos u SAP'!$G$3:$G$501,'Plan prihoda za unos u SAP'!$C$3:$C$501,"=559",'Plan prihoda za unos u SAP'!$K$3:$K$501,"=722")</f>
        <v>0</v>
      </c>
      <c r="K30" s="162">
        <f>SUMIFS('Plan prihoda za unos u SAP'!$G$3:$G$501,'Plan prihoda za unos u SAP'!$C$3:$C$501,"=561",'Plan prihoda za unos u SAP'!$K$3:$K$501,"=722")</f>
        <v>0</v>
      </c>
      <c r="L30" s="162">
        <f>SUMIFS('Plan prihoda za unos u SAP'!$G$3:$G$501,'Plan prihoda za unos u SAP'!$C$3:$C$501,"=563",'Plan prihoda za unos u SAP'!$K$3:$K$501,"=722")</f>
        <v>0</v>
      </c>
      <c r="M30" s="162">
        <f>SUMIFS('Plan prihoda za unos u SAP'!$G$3:$G$501,'Plan prihoda za unos u SAP'!$C$3:$C$501,"=61",'Plan prihoda za unos u SAP'!$K$3:$K$501,"=722")</f>
        <v>0</v>
      </c>
      <c r="N30" s="162">
        <f>SUMIFS('Plan prihoda za unos u SAP'!$G$3:$G$501,'Plan prihoda za unos u SAP'!$C$3:$C$501,"=63",'Plan prihoda za unos u SAP'!$K$3:$K$501,"=722")</f>
        <v>0</v>
      </c>
      <c r="O30" s="162">
        <f>SUMIFS('Plan prihoda za unos u SAP'!$G$3:$G$501,'Plan prihoda za unos u SAP'!$C$3:$C$501,"=71",'Plan prihoda za unos u SAP'!$K$3:$K$501,"=722")</f>
        <v>0</v>
      </c>
      <c r="P30" s="162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317</v>
      </c>
      <c r="B31" s="101" t="s">
        <v>318</v>
      </c>
      <c r="C31" s="71">
        <f t="shared" si="5"/>
        <v>0</v>
      </c>
      <c r="D31" s="162">
        <f>SUMIFS('Plan prihoda za unos u SAP'!$G$3:$G$501,'Plan prihoda za unos u SAP'!$C$3:$C$501,"=11",'Plan prihoda za unos u SAP'!$K$3:$K$501,"=723")</f>
        <v>0</v>
      </c>
      <c r="E31" s="162">
        <f>SUMIFS('Plan prihoda za unos u SAP'!$G$3:$G$501,'Plan prihoda za unos u SAP'!$C$3:$C$501,"=12",'Plan prihoda za unos u SAP'!$K$3:$K$501,"=723")</f>
        <v>0</v>
      </c>
      <c r="F31" s="162">
        <f>SUMIFS('Plan prihoda za unos u SAP'!$G$3:$G$501,'Plan prihoda za unos u SAP'!$C$3:$C$501,"=31",'Plan prihoda za unos u SAP'!$K$3:$K$501,"=723")</f>
        <v>0</v>
      </c>
      <c r="G31" s="162">
        <f>SUMIFS('Plan prihoda za unos u SAP'!$G$3:$G$501,'Plan prihoda za unos u SAP'!$C$3:$C$501,"=43",'Plan prihoda za unos u SAP'!$K$3:$K$501,"=723")</f>
        <v>0</v>
      </c>
      <c r="H31" s="162">
        <f>SUMIFS('Plan prihoda za unos u SAP'!$G$3:$G$501,'Plan prihoda za unos u SAP'!$C$3:$C$501,"=51",'Plan prihoda za unos u SAP'!$K$3:$K$501,"=723")</f>
        <v>0</v>
      </c>
      <c r="I31" s="162">
        <f>SUMIFS('Plan prihoda za unos u SAP'!$G$3:$G$501,'Plan prihoda za unos u SAP'!$C$3:$C$501,"=52",'Plan prihoda za unos u SAP'!$K$3:$K$501,"=723")</f>
        <v>0</v>
      </c>
      <c r="J31" s="162">
        <f>SUMIFS('Plan prihoda za unos u SAP'!$G$3:$G$501,'Plan prihoda za unos u SAP'!$C$3:$C$501,"=559",'Plan prihoda za unos u SAP'!$K$3:$K$501,"=723")</f>
        <v>0</v>
      </c>
      <c r="K31" s="162">
        <f>SUMIFS('Plan prihoda za unos u SAP'!$G$3:$G$501,'Plan prihoda za unos u SAP'!$C$3:$C$501,"=561",'Plan prihoda za unos u SAP'!$K$3:$K$501,"=723")</f>
        <v>0</v>
      </c>
      <c r="L31" s="162">
        <f>SUMIFS('Plan prihoda za unos u SAP'!$G$3:$G$501,'Plan prihoda za unos u SAP'!$C$3:$C$501,"=563",'Plan prihoda za unos u SAP'!$K$3:$K$501,"=723")</f>
        <v>0</v>
      </c>
      <c r="M31" s="162">
        <f>SUMIFS('Plan prihoda za unos u SAP'!$G$3:$G$501,'Plan prihoda za unos u SAP'!$C$3:$C$501,"=61",'Plan prihoda za unos u SAP'!$K$3:$K$501,"=723")</f>
        <v>0</v>
      </c>
      <c r="N31" s="162">
        <f>SUMIFS('Plan prihoda za unos u SAP'!$G$3:$G$501,'Plan prihoda za unos u SAP'!$C$3:$C$501,"=63",'Plan prihoda za unos u SAP'!$K$3:$K$501,"=723")</f>
        <v>0</v>
      </c>
      <c r="O31" s="162">
        <f>SUMIFS('Plan prihoda za unos u SAP'!$G$3:$G$501,'Plan prihoda za unos u SAP'!$C$3:$C$501,"=71",'Plan prihoda za unos u SAP'!$K$3:$K$501,"=723")</f>
        <v>0</v>
      </c>
      <c r="P31" s="162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328</v>
      </c>
      <c r="B32" s="101" t="s">
        <v>329</v>
      </c>
      <c r="C32" s="71">
        <f t="shared" si="5"/>
        <v>0</v>
      </c>
      <c r="D32" s="162">
        <f>SUMIFS('Plan prihoda za unos u SAP'!$G$3:$G$501,'Plan prihoda za unos u SAP'!$C$3:$C$501,"=11",'Plan prihoda za unos u SAP'!$K$3:$K$501,"=725")</f>
        <v>0</v>
      </c>
      <c r="E32" s="162">
        <f>SUMIFS('Plan prihoda za unos u SAP'!$G$3:$G$501,'Plan prihoda za unos u SAP'!$C$3:$C$501,"=12",'Plan prihoda za unos u SAP'!$K$3:$K$501,"=725")</f>
        <v>0</v>
      </c>
      <c r="F32" s="162">
        <f>SUMIFS('Plan prihoda za unos u SAP'!$G$3:$G$501,'Plan prihoda za unos u SAP'!$C$3:$C$501,"=31",'Plan prihoda za unos u SAP'!$K$3:$K$501,"=725")</f>
        <v>0</v>
      </c>
      <c r="G32" s="162">
        <f>SUMIFS('Plan prihoda za unos u SAP'!$G$3:$G$501,'Plan prihoda za unos u SAP'!$C$3:$C$501,"=43",'Plan prihoda za unos u SAP'!$K$3:$K$501,"=725")</f>
        <v>0</v>
      </c>
      <c r="H32" s="162">
        <f>SUMIFS('Plan prihoda za unos u SAP'!$G$3:$G$501,'Plan prihoda za unos u SAP'!$C$3:$C$501,"=51",'Plan prihoda za unos u SAP'!$K$3:$K$501,"=725")</f>
        <v>0</v>
      </c>
      <c r="I32" s="162">
        <f>SUMIFS('Plan prihoda za unos u SAP'!$G$3:$G$501,'Plan prihoda za unos u SAP'!$C$3:$C$501,"=52",'Plan prihoda za unos u SAP'!$K$3:$K$501,"=725")</f>
        <v>0</v>
      </c>
      <c r="J32" s="162">
        <f>SUMIFS('Plan prihoda za unos u SAP'!$G$3:$G$501,'Plan prihoda za unos u SAP'!$C$3:$C$501,"=559",'Plan prihoda za unos u SAP'!$K$3:$K$501,"=725")</f>
        <v>0</v>
      </c>
      <c r="K32" s="162">
        <f>SUMIFS('Plan prihoda za unos u SAP'!$G$3:$G$501,'Plan prihoda za unos u SAP'!$C$3:$C$501,"=561",'Plan prihoda za unos u SAP'!$K$3:$K$501,"=725")</f>
        <v>0</v>
      </c>
      <c r="L32" s="162">
        <f>SUMIFS('Plan prihoda za unos u SAP'!$G$3:$G$501,'Plan prihoda za unos u SAP'!$C$3:$C$501,"=563",'Plan prihoda za unos u SAP'!$K$3:$K$501,"=725")</f>
        <v>0</v>
      </c>
      <c r="M32" s="162">
        <f>SUMIFS('Plan prihoda za unos u SAP'!$G$3:$G$501,'Plan prihoda za unos u SAP'!$C$3:$C$501,"=61",'Plan prihoda za unos u SAP'!$K$3:$K$501,"=725")</f>
        <v>0</v>
      </c>
      <c r="N32" s="162">
        <f>SUMIFS('Plan prihoda za unos u SAP'!$G$3:$G$501,'Plan prihoda za unos u SAP'!$C$3:$C$501,"=63",'Plan prihoda za unos u SAP'!$K$3:$K$501,"=725")</f>
        <v>0</v>
      </c>
      <c r="O32" s="162">
        <f>SUMIFS('Plan prihoda za unos u SAP'!$G$3:$G$501,'Plan prihoda za unos u SAP'!$C$3:$C$501,"=71",'Plan prihoda za unos u SAP'!$K$3:$K$501,"=725")</f>
        <v>0</v>
      </c>
      <c r="P32" s="162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319</v>
      </c>
      <c r="B33" s="100" t="s">
        <v>312</v>
      </c>
      <c r="C33" s="71">
        <f t="shared" si="5"/>
        <v>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</row>
    <row r="34" spans="1:22" s="91" customFormat="1" ht="25.5">
      <c r="A34" s="102">
        <v>812</v>
      </c>
      <c r="B34" s="103" t="s">
        <v>320</v>
      </c>
      <c r="C34" s="71">
        <f t="shared" si="5"/>
        <v>0</v>
      </c>
      <c r="D34" s="162">
        <f>SUMIFS('Plan prihoda za unos u SAP'!$G$3:$G$501,'Plan prihoda za unos u SAP'!$C$3:$C$501,"=11",'Plan prihoda za unos u SAP'!$K$3:$K$501,"=812")</f>
        <v>0</v>
      </c>
      <c r="E34" s="162">
        <f>SUMIFS('Plan prihoda za unos u SAP'!$G$3:$G$501,'Plan prihoda za unos u SAP'!$C$3:$C$501,"=12",'Plan prihoda za unos u SAP'!$K$3:$K$501,"=812")</f>
        <v>0</v>
      </c>
      <c r="F34" s="162">
        <f>SUMIFS('Plan prihoda za unos u SAP'!$G$3:$G$501,'Plan prihoda za unos u SAP'!$C$3:$C$501,"=31",'Plan prihoda za unos u SAP'!$K$3:$K$501,"=812")</f>
        <v>0</v>
      </c>
      <c r="G34" s="162">
        <f>SUMIFS('Plan prihoda za unos u SAP'!$G$3:$G$501,'Plan prihoda za unos u SAP'!$C$3:$C$501,"=43",'Plan prihoda za unos u SAP'!$K$3:$K$501,"=812")</f>
        <v>0</v>
      </c>
      <c r="H34" s="162">
        <f>SUMIFS('Plan prihoda za unos u SAP'!$G$3:$G$501,'Plan prihoda za unos u SAP'!$C$3:$C$501,"=51",'Plan prihoda za unos u SAP'!$K$3:$K$501,"=812")</f>
        <v>0</v>
      </c>
      <c r="I34" s="162">
        <f>SUMIFS('Plan prihoda za unos u SAP'!$G$3:$G$501,'Plan prihoda za unos u SAP'!$C$3:$C$501,"=52",'Plan prihoda za unos u SAP'!$K$3:$K$501,"=812")</f>
        <v>0</v>
      </c>
      <c r="J34" s="162">
        <f>SUMIFS('Plan prihoda za unos u SAP'!$G$3:$G$501,'Plan prihoda za unos u SAP'!$C$3:$C$501,"=559",'Plan prihoda za unos u SAP'!$K$3:$K$501,"=812")</f>
        <v>0</v>
      </c>
      <c r="K34" s="162">
        <f>SUMIFS('Plan prihoda za unos u SAP'!$G$3:$G$501,'Plan prihoda za unos u SAP'!$C$3:$C$501,"=561",'Plan prihoda za unos u SAP'!$K$3:$K$501,"=812")</f>
        <v>0</v>
      </c>
      <c r="L34" s="162">
        <f>SUMIFS('Plan prihoda za unos u SAP'!$G$3:$G$501,'Plan prihoda za unos u SAP'!$C$3:$C$501,"=563",'Plan prihoda za unos u SAP'!$K$3:$K$501,"=812")</f>
        <v>0</v>
      </c>
      <c r="M34" s="162">
        <f>SUMIFS('Plan prihoda za unos u SAP'!$G$3:$G$501,'Plan prihoda za unos u SAP'!$C$3:$C$501,"=61",'Plan prihoda za unos u SAP'!$K$3:$K$501,"=812")</f>
        <v>0</v>
      </c>
      <c r="N34" s="162">
        <f>SUMIFS('Plan prihoda za unos u SAP'!$G$3:$G$501,'Plan prihoda za unos u SAP'!$C$3:$C$501,"=63",'Plan prihoda za unos u SAP'!$K$3:$K$501,"=812")</f>
        <v>0</v>
      </c>
      <c r="O34" s="162">
        <f>SUMIFS('Plan prihoda za unos u SAP'!$G$3:$G$501,'Plan prihoda za unos u SAP'!$C$3:$C$501,"=71",'Plan prihoda za unos u SAP'!$K$3:$K$501,"=812")</f>
        <v>0</v>
      </c>
      <c r="P34" s="162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330</v>
      </c>
      <c r="C35" s="71">
        <f>SUM(D35:P35)</f>
        <v>0</v>
      </c>
      <c r="D35" s="162">
        <f>SUMIFS('Plan prihoda za unos u SAP'!$G$3:$G$501,'Plan prihoda za unos u SAP'!$C$3:$C$501,"=11",'Plan prihoda za unos u SAP'!$K$3:$K$501,"=842")</f>
        <v>0</v>
      </c>
      <c r="E35" s="162">
        <f>SUMIFS('Plan prihoda za unos u SAP'!$G$3:$G$501,'Plan prihoda za unos u SAP'!$C$3:$C$501,"=12",'Plan prihoda za unos u SAP'!$K$3:$K$501,"=842")</f>
        <v>0</v>
      </c>
      <c r="F35" s="162">
        <f>SUMIFS('Plan prihoda za unos u SAP'!$G$3:$G$501,'Plan prihoda za unos u SAP'!$C$3:$C$501,"=31",'Plan prihoda za unos u SAP'!$K$3:$K$501,"=842")</f>
        <v>0</v>
      </c>
      <c r="G35" s="162">
        <f>SUMIFS('Plan prihoda za unos u SAP'!$G$3:$G$501,'Plan prihoda za unos u SAP'!$C$3:$C$501,"=43",'Plan prihoda za unos u SAP'!$K$3:$K$501,"=842")</f>
        <v>0</v>
      </c>
      <c r="H35" s="162">
        <f>SUMIFS('Plan prihoda za unos u SAP'!$G$3:$G$501,'Plan prihoda za unos u SAP'!$C$3:$C$501,"=51",'Plan prihoda za unos u SAP'!$K$3:$K$501,"=842")</f>
        <v>0</v>
      </c>
      <c r="I35" s="162">
        <f>SUMIFS('Plan prihoda za unos u SAP'!$G$3:$G$501,'Plan prihoda za unos u SAP'!$C$3:$C$501,"=52",'Plan prihoda za unos u SAP'!$K$3:$K$501,"=842")</f>
        <v>0</v>
      </c>
      <c r="J35" s="162">
        <f>SUMIFS('Plan prihoda za unos u SAP'!$G$3:$G$501,'Plan prihoda za unos u SAP'!$C$3:$C$501,"=559",'Plan prihoda za unos u SAP'!$K$3:$K$501,"=842")</f>
        <v>0</v>
      </c>
      <c r="K35" s="162">
        <f>SUMIFS('Plan prihoda za unos u SAP'!$G$3:$G$501,'Plan prihoda za unos u SAP'!$C$3:$C$501,"=561",'Plan prihoda za unos u SAP'!$K$3:$K$501,"=842")</f>
        <v>0</v>
      </c>
      <c r="L35" s="162">
        <f>SUMIFS('Plan prihoda za unos u SAP'!$G$3:$G$501,'Plan prihoda za unos u SAP'!$C$3:$C$501,"=563",'Plan prihoda za unos u SAP'!$K$3:$K$501,"=842")</f>
        <v>0</v>
      </c>
      <c r="M35" s="162">
        <f>SUMIFS('Plan prihoda za unos u SAP'!$G$3:$G$501,'Plan prihoda za unos u SAP'!$C$3:$C$501,"=61",'Plan prihoda za unos u SAP'!$K$3:$K$501,"=842")</f>
        <v>0</v>
      </c>
      <c r="N35" s="162">
        <f>SUMIFS('Plan prihoda za unos u SAP'!$G$3:$G$501,'Plan prihoda za unos u SAP'!$C$3:$C$501,"=63",'Plan prihoda za unos u SAP'!$K$3:$K$501,"=842")</f>
        <v>0</v>
      </c>
      <c r="O35" s="162">
        <f>SUMIFS('Plan prihoda za unos u SAP'!$G$3:$G$501,'Plan prihoda za unos u SAP'!$C$3:$C$501,"=71",'Plan prihoda za unos u SAP'!$K$3:$K$501,"=842")</f>
        <v>0</v>
      </c>
      <c r="P35" s="162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321</v>
      </c>
      <c r="B36" s="100" t="s">
        <v>312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32" t="s">
        <v>322</v>
      </c>
      <c r="B37" s="232"/>
      <c r="C37" s="72">
        <f>SUM(D37:P37)</f>
        <v>167876127.54261488</v>
      </c>
      <c r="D37" s="72">
        <f t="shared" ref="D37:P37" si="9">+D36+D33+D26</f>
        <v>57137099.542614892</v>
      </c>
      <c r="E37" s="72">
        <f t="shared" si="9"/>
        <v>23000913</v>
      </c>
      <c r="F37" s="72">
        <f t="shared" si="9"/>
        <v>1206150</v>
      </c>
      <c r="G37" s="72">
        <f t="shared" si="9"/>
        <v>7930852</v>
      </c>
      <c r="H37" s="72">
        <f t="shared" si="9"/>
        <v>0</v>
      </c>
      <c r="I37" s="72">
        <f t="shared" si="9"/>
        <v>1970571</v>
      </c>
      <c r="J37" s="72">
        <f t="shared" si="9"/>
        <v>0</v>
      </c>
      <c r="K37" s="72">
        <f t="shared" si="9"/>
        <v>0</v>
      </c>
      <c r="L37" s="72">
        <f t="shared" si="9"/>
        <v>75839669</v>
      </c>
      <c r="M37" s="72">
        <f t="shared" si="9"/>
        <v>790873</v>
      </c>
      <c r="N37" s="72">
        <f t="shared" si="9"/>
        <v>0</v>
      </c>
      <c r="O37" s="72">
        <f t="shared" si="9"/>
        <v>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27" t="s">
        <v>275</v>
      </c>
      <c r="B39" s="228"/>
      <c r="C39" s="229" t="s">
        <v>37</v>
      </c>
      <c r="D39" s="230"/>
      <c r="E39" s="230"/>
      <c r="F39" s="230"/>
      <c r="G39" s="230"/>
      <c r="H39" s="230"/>
      <c r="I39" s="230"/>
      <c r="J39" s="230"/>
      <c r="K39" s="230"/>
      <c r="L39" s="230"/>
      <c r="M39" s="230"/>
      <c r="N39" s="230"/>
      <c r="O39" s="230"/>
      <c r="P39" s="231"/>
    </row>
    <row r="40" spans="1:22" s="91" customFormat="1" ht="89.25">
      <c r="A40" s="93" t="s">
        <v>276</v>
      </c>
      <c r="B40" s="93" t="s">
        <v>277</v>
      </c>
      <c r="C40" s="155" t="s">
        <v>278</v>
      </c>
      <c r="D40" s="137" t="s">
        <v>359</v>
      </c>
      <c r="E40" s="137" t="s">
        <v>331</v>
      </c>
      <c r="F40" s="94" t="s">
        <v>2</v>
      </c>
      <c r="G40" s="94" t="s">
        <v>3</v>
      </c>
      <c r="H40" s="94" t="s">
        <v>279</v>
      </c>
      <c r="I40" s="94" t="s">
        <v>280</v>
      </c>
      <c r="J40" s="94" t="s">
        <v>281</v>
      </c>
      <c r="K40" s="136" t="s">
        <v>282</v>
      </c>
      <c r="L40" s="136" t="s">
        <v>283</v>
      </c>
      <c r="M40" s="94" t="s">
        <v>284</v>
      </c>
      <c r="N40" s="94" t="s">
        <v>285</v>
      </c>
      <c r="O40" s="94" t="s">
        <v>323</v>
      </c>
      <c r="P40" s="94" t="s">
        <v>1222</v>
      </c>
    </row>
    <row r="41" spans="1:22" s="91" customFormat="1">
      <c r="A41" s="96"/>
      <c r="B41" s="97" t="s">
        <v>0</v>
      </c>
      <c r="C41" s="71">
        <f t="shared" ref="C41:C46" si="10">SUM(D41:P41)</f>
        <v>10800070</v>
      </c>
      <c r="D41" s="161">
        <f t="shared" ref="D41:P41" si="11">-D7</f>
        <v>0</v>
      </c>
      <c r="E41" s="161">
        <f t="shared" si="11"/>
        <v>0</v>
      </c>
      <c r="F41" s="161">
        <f t="shared" si="11"/>
        <v>150400</v>
      </c>
      <c r="G41" s="161">
        <f t="shared" si="11"/>
        <v>10514160</v>
      </c>
      <c r="H41" s="161">
        <f t="shared" si="11"/>
        <v>0</v>
      </c>
      <c r="I41" s="161">
        <f t="shared" si="11"/>
        <v>135510</v>
      </c>
      <c r="J41" s="161">
        <f t="shared" si="11"/>
        <v>0</v>
      </c>
      <c r="K41" s="161">
        <f t="shared" si="11"/>
        <v>0</v>
      </c>
      <c r="L41" s="161">
        <f t="shared" si="11"/>
        <v>0</v>
      </c>
      <c r="M41" s="161">
        <f t="shared" si="11"/>
        <v>0</v>
      </c>
      <c r="N41" s="161">
        <f t="shared" si="11"/>
        <v>0</v>
      </c>
      <c r="O41" s="161">
        <f t="shared" si="11"/>
        <v>0</v>
      </c>
      <c r="P41" s="161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355</v>
      </c>
      <c r="C42" s="71">
        <f t="shared" si="10"/>
        <v>80098535.257892191</v>
      </c>
      <c r="D42" s="15">
        <f t="shared" ref="D42:P42" si="12">+D62+D69</f>
        <v>60367162.257892199</v>
      </c>
      <c r="E42" s="15">
        <f t="shared" si="12"/>
        <v>1193213</v>
      </c>
      <c r="F42" s="15">
        <f t="shared" si="12"/>
        <v>1226536</v>
      </c>
      <c r="G42" s="15">
        <f t="shared" si="12"/>
        <v>7978569</v>
      </c>
      <c r="H42" s="15">
        <f t="shared" si="12"/>
        <v>0</v>
      </c>
      <c r="I42" s="15">
        <f t="shared" si="12"/>
        <v>1764035</v>
      </c>
      <c r="J42" s="15">
        <f t="shared" si="12"/>
        <v>0</v>
      </c>
      <c r="K42" s="15">
        <f t="shared" si="12"/>
        <v>0</v>
      </c>
      <c r="L42" s="15">
        <f t="shared" si="12"/>
        <v>6761538</v>
      </c>
      <c r="M42" s="15">
        <f t="shared" si="12"/>
        <v>807482</v>
      </c>
      <c r="N42" s="15">
        <f t="shared" si="12"/>
        <v>0</v>
      </c>
      <c r="O42" s="15">
        <f t="shared" si="12"/>
        <v>0</v>
      </c>
      <c r="P42" s="15">
        <f t="shared" si="12"/>
        <v>0</v>
      </c>
    </row>
    <row r="43" spans="1:22" s="91" customFormat="1">
      <c r="A43" s="96"/>
      <c r="B43" s="97" t="s">
        <v>358</v>
      </c>
      <c r="C43" s="71">
        <f t="shared" si="10"/>
        <v>-6915284</v>
      </c>
      <c r="D43" s="115"/>
      <c r="E43" s="115"/>
      <c r="F43" s="115">
        <v>-161625</v>
      </c>
      <c r="G43" s="115">
        <v>-6753659</v>
      </c>
      <c r="H43" s="115"/>
      <c r="I43" s="115"/>
      <c r="J43" s="3"/>
      <c r="K43" s="115"/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286</v>
      </c>
      <c r="C44" s="71">
        <f t="shared" si="10"/>
        <v>83983321.257892191</v>
      </c>
      <c r="D44" s="15">
        <f>+D41+D42+D43</f>
        <v>60367162.257892199</v>
      </c>
      <c r="E44" s="15">
        <f t="shared" ref="E44:P44" si="13">+E41+E42+E43</f>
        <v>1193213</v>
      </c>
      <c r="F44" s="15">
        <f t="shared" si="13"/>
        <v>1215311</v>
      </c>
      <c r="G44" s="15">
        <f t="shared" si="13"/>
        <v>11739070</v>
      </c>
      <c r="H44" s="15">
        <f t="shared" si="13"/>
        <v>0</v>
      </c>
      <c r="I44" s="15">
        <f t="shared" si="13"/>
        <v>1899545</v>
      </c>
      <c r="J44" s="15">
        <f t="shared" si="13"/>
        <v>0</v>
      </c>
      <c r="K44" s="15">
        <f t="shared" si="13"/>
        <v>0</v>
      </c>
      <c r="L44" s="15">
        <f t="shared" si="13"/>
        <v>6761538</v>
      </c>
      <c r="M44" s="15">
        <f t="shared" si="13"/>
        <v>807482</v>
      </c>
      <c r="N44" s="15">
        <f t="shared" si="13"/>
        <v>0</v>
      </c>
      <c r="O44" s="15">
        <f t="shared" si="13"/>
        <v>0</v>
      </c>
      <c r="P44" s="15">
        <f t="shared" si="13"/>
        <v>0</v>
      </c>
    </row>
    <row r="45" spans="1:22" s="91" customFormat="1">
      <c r="A45" s="113"/>
      <c r="B45" s="114" t="s">
        <v>233</v>
      </c>
      <c r="C45" s="71">
        <f t="shared" si="10"/>
        <v>83983321.257892191</v>
      </c>
      <c r="D45" s="138">
        <f>+'PLAN RASHODA I IZDATAKA'!D71</f>
        <v>60367162.257892199</v>
      </c>
      <c r="E45" s="138">
        <f>+'PLAN RASHODA I IZDATAKA'!E71</f>
        <v>1193213</v>
      </c>
      <c r="F45" s="138">
        <f>+'PLAN RASHODA I IZDATAKA'!F71</f>
        <v>1215311</v>
      </c>
      <c r="G45" s="138">
        <f>+'PLAN RASHODA I IZDATAKA'!G71</f>
        <v>11739070</v>
      </c>
      <c r="H45" s="138">
        <f>+'PLAN RASHODA I IZDATAKA'!H71</f>
        <v>0</v>
      </c>
      <c r="I45" s="138">
        <f>+'PLAN RASHODA I IZDATAKA'!I71</f>
        <v>1899545</v>
      </c>
      <c r="J45" s="138">
        <f>+'PLAN RASHODA I IZDATAKA'!J71</f>
        <v>0</v>
      </c>
      <c r="K45" s="138">
        <f>+'PLAN RASHODA I IZDATAKA'!K71</f>
        <v>0</v>
      </c>
      <c r="L45" s="138">
        <f>+'PLAN RASHODA I IZDATAKA'!L71</f>
        <v>6761538</v>
      </c>
      <c r="M45" s="138">
        <f>+'PLAN RASHODA I IZDATAKA'!M71</f>
        <v>807482</v>
      </c>
      <c r="N45" s="138">
        <f>+'PLAN RASHODA I IZDATAKA'!N71</f>
        <v>0</v>
      </c>
      <c r="O45" s="138">
        <f>+'PLAN RASHODA I IZDATAKA'!O71</f>
        <v>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357</v>
      </c>
      <c r="C46" s="70">
        <f t="shared" si="10"/>
        <v>0</v>
      </c>
      <c r="D46" s="120">
        <f>+D44-D45</f>
        <v>0</v>
      </c>
      <c r="E46" s="120">
        <f t="shared" ref="E46:P46" si="14">+E44-E45</f>
        <v>0</v>
      </c>
      <c r="F46" s="120">
        <f t="shared" si="14"/>
        <v>0</v>
      </c>
      <c r="G46" s="120">
        <f t="shared" si="14"/>
        <v>0</v>
      </c>
      <c r="H46" s="120">
        <f t="shared" si="14"/>
        <v>0</v>
      </c>
      <c r="I46" s="120">
        <f t="shared" si="14"/>
        <v>0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287</v>
      </c>
      <c r="B47" s="97" t="s">
        <v>288</v>
      </c>
      <c r="C47" s="71">
        <f t="shared" ref="C47" si="15">SUM(D47:P47)</f>
        <v>0</v>
      </c>
      <c r="D47" s="162">
        <f>SUMIFS('Plan prihoda za unos u SAP'!$H$3:$H$501,'Plan prihoda za unos u SAP'!$C$3:$C$501,"=11",'Plan prihoda za unos u SAP'!$K$3:$K$501,"=631")</f>
        <v>0</v>
      </c>
      <c r="E47" s="162">
        <f>SUMIFS('Plan prihoda za unos u SAP'!$H$3:$H$501,'Plan prihoda za unos u SAP'!$C$3:$C$501,"=12",'Plan prihoda za unos u SAP'!$K$3:$K$501,"=631")</f>
        <v>0</v>
      </c>
      <c r="F47" s="162">
        <f>SUMIFS('Plan prihoda za unos u SAP'!$H$3:$H$501,'Plan prihoda za unos u SAP'!$C$3:$C$501,"=31",'Plan prihoda za unos u SAP'!$K$3:$K$501,"=631")</f>
        <v>0</v>
      </c>
      <c r="G47" s="162">
        <f>SUMIFS('Plan prihoda za unos u SAP'!$H$3:$H$501,'Plan prihoda za unos u SAP'!$C$3:$C$501,"=43",'Plan prihoda za unos u SAP'!$K$3:$K$501,"=631")</f>
        <v>0</v>
      </c>
      <c r="H47" s="162">
        <f>SUMIFS('Plan prihoda za unos u SAP'!$H$3:$H$501,'Plan prihoda za unos u SAP'!$C$3:$C$501,"=51",'Plan prihoda za unos u SAP'!$K$3:$K$501,"=631")</f>
        <v>0</v>
      </c>
      <c r="I47" s="162">
        <f>SUMIFS('Plan prihoda za unos u SAP'!$H$3:$H$501,'Plan prihoda za unos u SAP'!$C$3:$C$501,"=52",'Plan prihoda za unos u SAP'!$K$3:$K$501,"=631")</f>
        <v>0</v>
      </c>
      <c r="J47" s="162">
        <f>SUMIFS('Plan prihoda za unos u SAP'!$H$3:$H$501,'Plan prihoda za unos u SAP'!$C$3:$C$501,"=559",'Plan prihoda za unos u SAP'!$K$3:$K$501,"=631")</f>
        <v>0</v>
      </c>
      <c r="K47" s="162">
        <f>SUMIFS('Plan prihoda za unos u SAP'!$H$3:$H$501,'Plan prihoda za unos u SAP'!$C$3:$C$501,"=561",'Plan prihoda za unos u SAP'!$K$3:$K$501,"=631")</f>
        <v>0</v>
      </c>
      <c r="L47" s="162">
        <f>SUMIFS('Plan prihoda za unos u SAP'!$H$3:$H$501,'Plan prihoda za unos u SAP'!$C$3:$C$501,"=563",'Plan prihoda za unos u SAP'!$K$3:$K$501,"=631")</f>
        <v>0</v>
      </c>
      <c r="M47" s="162">
        <f>SUMIFS('Plan prihoda za unos u SAP'!$H$3:$H$501,'Plan prihoda za unos u SAP'!$C$3:$C$501,"=61",'Plan prihoda za unos u SAP'!$K$3:$K$501,"=631")</f>
        <v>0</v>
      </c>
      <c r="N47" s="162">
        <f>SUMIFS('Plan prihoda za unos u SAP'!$H$3:$H$501,'Plan prihoda za unos u SAP'!$C$3:$C$501,"=63",'Plan prihoda za unos u SAP'!$K$3:$K$501,"=631")</f>
        <v>0</v>
      </c>
      <c r="O47" s="162">
        <f>SUMIFS('Plan prihoda za unos u SAP'!$H$3:$H$501,'Plan prihoda za unos u SAP'!$C$3:$C$501,"=71",'Plan prihoda za unos u SAP'!$K$3:$K$501,"=631")</f>
        <v>0</v>
      </c>
      <c r="P47" s="162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289</v>
      </c>
      <c r="B48" s="97" t="s">
        <v>290</v>
      </c>
      <c r="C48" s="71">
        <f t="shared" ref="C48:C70" si="16">SUM(D48:P48)</f>
        <v>6761538</v>
      </c>
      <c r="D48" s="162">
        <f>SUMIFS('Plan prihoda za unos u SAP'!$H$3:$H$501,'Plan prihoda za unos u SAP'!$C$3:$C$501,"=11",'Plan prihoda za unos u SAP'!$K$3:$K$501,"=632")</f>
        <v>0</v>
      </c>
      <c r="E48" s="162">
        <f>SUMIFS('Plan prihoda za unos u SAP'!$H$3:$H$501,'Plan prihoda za unos u SAP'!$C$3:$C$501,"=12",'Plan prihoda za unos u SAP'!$K$3:$K$501,"=632")</f>
        <v>0</v>
      </c>
      <c r="F48" s="162">
        <f>SUMIFS('Plan prihoda za unos u SAP'!$H$3:$H$501,'Plan prihoda za unos u SAP'!$C$3:$C$501,"=31",'Plan prihoda za unos u SAP'!$K$3:$K$501,"=632")</f>
        <v>0</v>
      </c>
      <c r="G48" s="162">
        <f>SUMIFS('Plan prihoda za unos u SAP'!$H$3:$H$501,'Plan prihoda za unos u SAP'!$C$3:$C$501,"=43",'Plan prihoda za unos u SAP'!$K$3:$K$501,"=632")</f>
        <v>0</v>
      </c>
      <c r="H48" s="162">
        <f>SUMIFS('Plan prihoda za unos u SAP'!$H$3:$H$501,'Plan prihoda za unos u SAP'!$C$3:$C$501,"=51",'Plan prihoda za unos u SAP'!$K$3:$K$501,"=632")</f>
        <v>0</v>
      </c>
      <c r="I48" s="162">
        <f>SUMIFS('Plan prihoda za unos u SAP'!$H$3:$H$501,'Plan prihoda za unos u SAP'!$C$3:$C$501,"=52",'Plan prihoda za unos u SAP'!$K$3:$K$501,"=632")</f>
        <v>0</v>
      </c>
      <c r="J48" s="162">
        <f>SUMIFS('Plan prihoda za unos u SAP'!$H$3:$H$501,'Plan prihoda za unos u SAP'!$C$3:$C$501,"=559",'Plan prihoda za unos u SAP'!$K$3:$K$501,"=632")</f>
        <v>0</v>
      </c>
      <c r="K48" s="162">
        <f>SUMIFS('Plan prihoda za unos u SAP'!$H$3:$H$501,'Plan prihoda za unos u SAP'!$C$3:$C$501,"=561",'Plan prihoda za unos u SAP'!$K$3:$K$501,"=632")</f>
        <v>0</v>
      </c>
      <c r="L48" s="162">
        <f>SUMIFS('Plan prihoda za unos u SAP'!$H$3:$H$501,'Plan prihoda za unos u SAP'!$C$3:$C$501,"=563",'Plan prihoda za unos u SAP'!$K$3:$K$501,"=632")</f>
        <v>6761538</v>
      </c>
      <c r="M48" s="162">
        <f>SUMIFS('Plan prihoda za unos u SAP'!$H$3:$H$501,'Plan prihoda za unos u SAP'!$C$3:$C$501,"=61",'Plan prihoda za unos u SAP'!$K$3:$K$501,"=632")</f>
        <v>0</v>
      </c>
      <c r="N48" s="162">
        <f>SUMIFS('Plan prihoda za unos u SAP'!$H$3:$H$501,'Plan prihoda za unos u SAP'!$C$3:$C$501,"=63",'Plan prihoda za unos u SAP'!$K$3:$K$501,"=632")</f>
        <v>0</v>
      </c>
      <c r="O48" s="162">
        <f>SUMIFS('Plan prihoda za unos u SAP'!$H$3:$H$501,'Plan prihoda za unos u SAP'!$C$3:$C$501,"=71",'Plan prihoda za unos u SAP'!$K$3:$K$501,"=632")</f>
        <v>0</v>
      </c>
      <c r="P48" s="162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291</v>
      </c>
      <c r="B49" s="97" t="s">
        <v>292</v>
      </c>
      <c r="C49" s="71">
        <f t="shared" si="16"/>
        <v>0</v>
      </c>
      <c r="D49" s="162">
        <f>SUMIFS('Plan prihoda za unos u SAP'!$H$3:$H$501,'Plan prihoda za unos u SAP'!$C$3:$C$501,"=11",'Plan prihoda za unos u SAP'!$K$3:$K$501,"=634")</f>
        <v>0</v>
      </c>
      <c r="E49" s="162">
        <f>SUMIFS('Plan prihoda za unos u SAP'!$H$3:$H$501,'Plan prihoda za unos u SAP'!$C$3:$C$501,"=12",'Plan prihoda za unos u SAP'!$K$3:$K$501,"=634")</f>
        <v>0</v>
      </c>
      <c r="F49" s="162">
        <f>SUMIFS('Plan prihoda za unos u SAP'!$H$3:$H$501,'Plan prihoda za unos u SAP'!$C$3:$C$501,"=31",'Plan prihoda za unos u SAP'!$K$3:$K$501,"=634")</f>
        <v>0</v>
      </c>
      <c r="G49" s="162">
        <f>SUMIFS('Plan prihoda za unos u SAP'!$H$3:$H$501,'Plan prihoda za unos u SAP'!$C$3:$C$501,"=43",'Plan prihoda za unos u SAP'!$K$3:$K$501,"=634")</f>
        <v>0</v>
      </c>
      <c r="H49" s="162">
        <f>SUMIFS('Plan prihoda za unos u SAP'!$H$3:$H$501,'Plan prihoda za unos u SAP'!$C$3:$C$501,"=51",'Plan prihoda za unos u SAP'!$K$3:$K$501,"=634")</f>
        <v>0</v>
      </c>
      <c r="I49" s="162">
        <f>SUMIFS('Plan prihoda za unos u SAP'!$H$3:$H$501,'Plan prihoda za unos u SAP'!$C$3:$C$501,"=52",'Plan prihoda za unos u SAP'!$K$3:$K$501,"=634")</f>
        <v>0</v>
      </c>
      <c r="J49" s="162">
        <f>SUMIFS('Plan prihoda za unos u SAP'!$H$3:$H$501,'Plan prihoda za unos u SAP'!$C$3:$C$501,"=559",'Plan prihoda za unos u SAP'!$K$3:$K$501,"=634")</f>
        <v>0</v>
      </c>
      <c r="K49" s="162">
        <f>SUMIFS('Plan prihoda za unos u SAP'!$H$3:$H$501,'Plan prihoda za unos u SAP'!$C$3:$C$501,"=561",'Plan prihoda za unos u SAP'!$K$3:$K$501,"=634")</f>
        <v>0</v>
      </c>
      <c r="L49" s="162">
        <f>SUMIFS('Plan prihoda za unos u SAP'!$H$3:$H$501,'Plan prihoda za unos u SAP'!$C$3:$C$501,"=563",'Plan prihoda za unos u SAP'!$K$3:$K$501,"=634")</f>
        <v>0</v>
      </c>
      <c r="M49" s="162">
        <f>SUMIFS('Plan prihoda za unos u SAP'!$H$3:$H$501,'Plan prihoda za unos u SAP'!$C$3:$C$501,"=61",'Plan prihoda za unos u SAP'!$K$3:$K$501,"=634")</f>
        <v>0</v>
      </c>
      <c r="N49" s="162">
        <f>SUMIFS('Plan prihoda za unos u SAP'!$H$3:$H$501,'Plan prihoda za unos u SAP'!$C$3:$C$501,"=63",'Plan prihoda za unos u SAP'!$K$3:$K$501,"=634")</f>
        <v>0</v>
      </c>
      <c r="O49" s="162">
        <f>SUMIFS('Plan prihoda za unos u SAP'!$H$3:$H$501,'Plan prihoda za unos u SAP'!$C$3:$C$501,"=71",'Plan prihoda za unos u SAP'!$K$3:$K$501,"=634")</f>
        <v>0</v>
      </c>
      <c r="P49" s="162">
        <f>SUMIFS('Plan prihoda za unos u SAP'!$H$3:$H$501,'Plan prihoda za unos u SAP'!$C$3:$C$501,"=81",'Plan prihoda za unos u SAP'!$K$3:$K$501,"=634")</f>
        <v>0</v>
      </c>
    </row>
    <row r="50" spans="1:16" s="91" customFormat="1">
      <c r="A50" s="199" t="s">
        <v>382</v>
      </c>
      <c r="B50" s="97" t="s">
        <v>383</v>
      </c>
      <c r="C50" s="71">
        <f t="shared" si="16"/>
        <v>12000</v>
      </c>
      <c r="D50" s="162">
        <f>SUMIFS('Plan prihoda za unos u SAP'!$H$3:$H$501,'Plan prihoda za unos u SAP'!$C$3:$C$501,"=11",'Plan prihoda za unos u SAP'!$K$3:$K$501,"=636")</f>
        <v>0</v>
      </c>
      <c r="E50" s="162">
        <f>SUMIFS('Plan prihoda za unos u SAP'!$H$3:$H$501,'Plan prihoda za unos u SAP'!$C$3:$C$501,"=12",'Plan prihoda za unos u SAP'!$K$3:$K$501,"=636")</f>
        <v>0</v>
      </c>
      <c r="F50" s="162">
        <f>SUMIFS('Plan prihoda za unos u SAP'!$H$3:$H$501,'Plan prihoda za unos u SAP'!$C$3:$C$501,"=31",'Plan prihoda za unos u SAP'!$K$3:$K$501,"=636")</f>
        <v>0</v>
      </c>
      <c r="G50" s="162">
        <f>SUMIFS('Plan prihoda za unos u SAP'!$H$3:$H$501,'Plan prihoda za unos u SAP'!$C$3:$C$501,"=43",'Plan prihoda za unos u SAP'!$K$3:$K$501,"=636")</f>
        <v>0</v>
      </c>
      <c r="H50" s="162">
        <f>SUMIFS('Plan prihoda za unos u SAP'!$H$3:$H$501,'Plan prihoda za unos u SAP'!$C$3:$C$501,"=51",'Plan prihoda za unos u SAP'!$K$3:$K$501,"=636")</f>
        <v>0</v>
      </c>
      <c r="I50" s="162">
        <f>SUMIFS('Plan prihoda za unos u SAP'!$H$3:$H$501,'Plan prihoda za unos u SAP'!$C$3:$C$501,"=52",'Plan prihoda za unos u SAP'!$K$3:$K$501,"=636")</f>
        <v>12000</v>
      </c>
      <c r="J50" s="162">
        <f>SUMIFS('Plan prihoda za unos u SAP'!$H$3:$H$501,'Plan prihoda za unos u SAP'!$C$3:$C$501,"=559",'Plan prihoda za unos u SAP'!$K$3:$K$501,"=636")</f>
        <v>0</v>
      </c>
      <c r="K50" s="162">
        <f>SUMIFS('Plan prihoda za unos u SAP'!$H$3:$H$501,'Plan prihoda za unos u SAP'!$C$3:$C$501,"=561",'Plan prihoda za unos u SAP'!$K$3:$K$501,"=636")</f>
        <v>0</v>
      </c>
      <c r="L50" s="162">
        <f>SUMIFS('Plan prihoda za unos u SAP'!$H$3:$H$501,'Plan prihoda za unos u SAP'!$C$3:$C$501,"=563",'Plan prihoda za unos u SAP'!$K$3:$K$501,"=636")</f>
        <v>0</v>
      </c>
      <c r="M50" s="162">
        <f>SUMIFS('Plan prihoda za unos u SAP'!$H$3:$H$501,'Plan prihoda za unos u SAP'!$C$3:$C$501,"=61",'Plan prihoda za unos u SAP'!$K$3:$K$501,"=636")</f>
        <v>0</v>
      </c>
      <c r="N50" s="162">
        <f>SUMIFS('Plan prihoda za unos u SAP'!$H$3:$H$501,'Plan prihoda za unos u SAP'!$C$3:$C$501,"=63",'Plan prihoda za unos u SAP'!$K$3:$K$501,"=636")</f>
        <v>0</v>
      </c>
      <c r="O50" s="162">
        <f>SUMIFS('Plan prihoda za unos u SAP'!$H$3:$H$501,'Plan prihoda za unos u SAP'!$C$3:$C$501,"=71",'Plan prihoda za unos u SAP'!$K$3:$K$501,"=636")</f>
        <v>0</v>
      </c>
      <c r="P50" s="162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293</v>
      </c>
      <c r="B51" s="97" t="s">
        <v>294</v>
      </c>
      <c r="C51" s="71">
        <f t="shared" si="16"/>
        <v>0</v>
      </c>
      <c r="D51" s="162">
        <f>SUMIFS('Plan prihoda za unos u SAP'!$H$3:$H$501,'Plan prihoda za unos u SAP'!$C$3:$C$501,"=11",'Plan prihoda za unos u SAP'!$K$3:$K$501,"=638")</f>
        <v>0</v>
      </c>
      <c r="E51" s="162">
        <f>SUMIFS('Plan prihoda za unos u SAP'!$H$3:$H$501,'Plan prihoda za unos u SAP'!$C$3:$C$501,"=12",'Plan prihoda za unos u SAP'!$K$3:$K$501,"=638")</f>
        <v>0</v>
      </c>
      <c r="F51" s="162">
        <f>SUMIFS('Plan prihoda za unos u SAP'!$H$3:$H$501,'Plan prihoda za unos u SAP'!$C$3:$C$501,"=31",'Plan prihoda za unos u SAP'!$K$3:$K$501,"=638")</f>
        <v>0</v>
      </c>
      <c r="G51" s="162">
        <f>SUMIFS('Plan prihoda za unos u SAP'!$H$3:$H$501,'Plan prihoda za unos u SAP'!$C$3:$C$501,"=43",'Plan prihoda za unos u SAP'!$K$3:$K$501,"=638")</f>
        <v>0</v>
      </c>
      <c r="H51" s="162">
        <f>SUMIFS('Plan prihoda za unos u SAP'!$H$3:$H$501,'Plan prihoda za unos u SAP'!$C$3:$C$501,"=51",'Plan prihoda za unos u SAP'!$K$3:$K$501,"=638")</f>
        <v>0</v>
      </c>
      <c r="I51" s="162">
        <f>SUMIFS('Plan prihoda za unos u SAP'!$H$3:$H$501,'Plan prihoda za unos u SAP'!$C$3:$C$501,"=52",'Plan prihoda za unos u SAP'!$K$3:$K$501,"=638")</f>
        <v>0</v>
      </c>
      <c r="J51" s="162">
        <f>SUMIFS('Plan prihoda za unos u SAP'!$H$3:$H$501,'Plan prihoda za unos u SAP'!$C$3:$C$501,"=559",'Plan prihoda za unos u SAP'!$K$3:$K$501,"=638")</f>
        <v>0</v>
      </c>
      <c r="K51" s="162">
        <f>SUMIFS('Plan prihoda za unos u SAP'!$H$3:$H$501,'Plan prihoda za unos u SAP'!$C$3:$C$501,"=561",'Plan prihoda za unos u SAP'!$K$3:$K$501,"=638")</f>
        <v>0</v>
      </c>
      <c r="L51" s="162">
        <f>SUMIFS('Plan prihoda za unos u SAP'!$H$3:$H$501,'Plan prihoda za unos u SAP'!$C$3:$C$501,"=563",'Plan prihoda za unos u SAP'!$K$3:$K$501,"=638")</f>
        <v>0</v>
      </c>
      <c r="M51" s="162">
        <f>SUMIFS('Plan prihoda za unos u SAP'!$H$3:$H$501,'Plan prihoda za unos u SAP'!$C$3:$C$501,"=61",'Plan prihoda za unos u SAP'!$K$3:$K$501,"=638")</f>
        <v>0</v>
      </c>
      <c r="N51" s="162">
        <f>SUMIFS('Plan prihoda za unos u SAP'!$H$3:$H$501,'Plan prihoda za unos u SAP'!$C$3:$C$501,"=63",'Plan prihoda za unos u SAP'!$K$3:$K$501,"=638")</f>
        <v>0</v>
      </c>
      <c r="O51" s="162">
        <f>SUMIFS('Plan prihoda za unos u SAP'!$H$3:$H$501,'Plan prihoda za unos u SAP'!$C$3:$C$501,"=71",'Plan prihoda za unos u SAP'!$K$3:$K$501,"=638")</f>
        <v>0</v>
      </c>
      <c r="P51" s="162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295</v>
      </c>
      <c r="B52" s="97" t="s">
        <v>36</v>
      </c>
      <c r="C52" s="71">
        <f t="shared" si="16"/>
        <v>1752035</v>
      </c>
      <c r="D52" s="162">
        <f>SUMIFS('Plan prihoda za unos u SAP'!$H$3:$H$501,'Plan prihoda za unos u SAP'!$C$3:$C$501,"=11",'Plan prihoda za unos u SAP'!$K$3:$K$501,"=639")</f>
        <v>0</v>
      </c>
      <c r="E52" s="162">
        <f>SUMIFS('Plan prihoda za unos u SAP'!$H$3:$H$501,'Plan prihoda za unos u SAP'!$C$3:$C$501,"=12",'Plan prihoda za unos u SAP'!$K$3:$K$501,"=639")</f>
        <v>0</v>
      </c>
      <c r="F52" s="162">
        <f>SUMIFS('Plan prihoda za unos u SAP'!$H$3:$H$501,'Plan prihoda za unos u SAP'!$C$3:$C$501,"=31",'Plan prihoda za unos u SAP'!$K$3:$K$501,"=639")</f>
        <v>0</v>
      </c>
      <c r="G52" s="162">
        <f>SUMIFS('Plan prihoda za unos u SAP'!$H$3:$H$501,'Plan prihoda za unos u SAP'!$C$3:$C$501,"=43",'Plan prihoda za unos u SAP'!$K$3:$K$501,"=639")</f>
        <v>0</v>
      </c>
      <c r="H52" s="162">
        <f>SUMIFS('Plan prihoda za unos u SAP'!$H$3:$H$501,'Plan prihoda za unos u SAP'!$C$3:$C$501,"=51",'Plan prihoda za unos u SAP'!$K$3:$K$501,"=639")</f>
        <v>0</v>
      </c>
      <c r="I52" s="162">
        <f>SUMIFS('Plan prihoda za unos u SAP'!$H$3:$H$501,'Plan prihoda za unos u SAP'!$C$3:$C$501,"=52",'Plan prihoda za unos u SAP'!$K$3:$K$501,"=639")</f>
        <v>1752035</v>
      </c>
      <c r="J52" s="162">
        <f>SUMIFS('Plan prihoda za unos u SAP'!$H$3:$H$501,'Plan prihoda za unos u SAP'!$C$3:$C$501,"=559",'Plan prihoda za unos u SAP'!$K$3:$K$501,"=639")</f>
        <v>0</v>
      </c>
      <c r="K52" s="162">
        <f>SUMIFS('Plan prihoda za unos u SAP'!$H$3:$H$501,'Plan prihoda za unos u SAP'!$C$3:$C$501,"=561",'Plan prihoda za unos u SAP'!$K$3:$K$501,"=639")</f>
        <v>0</v>
      </c>
      <c r="L52" s="162">
        <f>SUMIFS('Plan prihoda za unos u SAP'!$H$3:$H$501,'Plan prihoda za unos u SAP'!$C$3:$C$501,"=563",'Plan prihoda za unos u SAP'!$K$3:$K$501,"=639")</f>
        <v>0</v>
      </c>
      <c r="M52" s="162">
        <f>SUMIFS('Plan prihoda za unos u SAP'!$H$3:$H$501,'Plan prihoda za unos u SAP'!$C$3:$C$501,"=61",'Plan prihoda za unos u SAP'!$K$3:$K$501,"=639")</f>
        <v>0</v>
      </c>
      <c r="N52" s="162">
        <f>SUMIFS('Plan prihoda za unos u SAP'!$H$3:$H$501,'Plan prihoda za unos u SAP'!$C$3:$C$501,"=63",'Plan prihoda za unos u SAP'!$K$3:$K$501,"=639")</f>
        <v>0</v>
      </c>
      <c r="O52" s="162">
        <f>SUMIFS('Plan prihoda za unos u SAP'!$H$3:$H$501,'Plan prihoda za unos u SAP'!$C$3:$C$501,"=71",'Plan prihoda za unos u SAP'!$K$3:$K$501,"=639")</f>
        <v>0</v>
      </c>
      <c r="P52" s="162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296</v>
      </c>
      <c r="B53" s="97" t="s">
        <v>297</v>
      </c>
      <c r="C53" s="71">
        <f t="shared" si="16"/>
        <v>5857</v>
      </c>
      <c r="D53" s="162">
        <f>SUMIFS('Plan prihoda za unos u SAP'!$H$3:$H$501,'Plan prihoda za unos u SAP'!$C$3:$C$501,"=11",'Plan prihoda za unos u SAP'!$K$3:$K$501,"=641")</f>
        <v>0</v>
      </c>
      <c r="E53" s="162">
        <f>SUMIFS('Plan prihoda za unos u SAP'!$H$3:$H$501,'Plan prihoda za unos u SAP'!$C$3:$C$501,"=12",'Plan prihoda za unos u SAP'!$K$3:$K$501,"=641")</f>
        <v>0</v>
      </c>
      <c r="F53" s="162">
        <f>SUMIFS('Plan prihoda za unos u SAP'!$H$3:$H$501,'Plan prihoda za unos u SAP'!$C$3:$C$501,"=31",'Plan prihoda za unos u SAP'!$K$3:$K$501,"=641")</f>
        <v>5857</v>
      </c>
      <c r="G53" s="162">
        <f>SUMIFS('Plan prihoda za unos u SAP'!$H$3:$H$501,'Plan prihoda za unos u SAP'!$C$3:$C$501,"=43",'Plan prihoda za unos u SAP'!$K$3:$K$501,"=641")</f>
        <v>0</v>
      </c>
      <c r="H53" s="162">
        <f>SUMIFS('Plan prihoda za unos u SAP'!$H$3:$H$501,'Plan prihoda za unos u SAP'!$C$3:$C$501,"=51",'Plan prihoda za unos u SAP'!$K$3:$K$501,"=641")</f>
        <v>0</v>
      </c>
      <c r="I53" s="162">
        <f>SUMIFS('Plan prihoda za unos u SAP'!$H$3:$H$501,'Plan prihoda za unos u SAP'!$C$3:$C$501,"=52",'Plan prihoda za unos u SAP'!$K$3:$K$501,"=641")</f>
        <v>0</v>
      </c>
      <c r="J53" s="162">
        <f>SUMIFS('Plan prihoda za unos u SAP'!$H$3:$H$501,'Plan prihoda za unos u SAP'!$C$3:$C$501,"=559",'Plan prihoda za unos u SAP'!$K$3:$K$501,"=641")</f>
        <v>0</v>
      </c>
      <c r="K53" s="162">
        <f>SUMIFS('Plan prihoda za unos u SAP'!$H$3:$H$501,'Plan prihoda za unos u SAP'!$C$3:$C$501,"=561",'Plan prihoda za unos u SAP'!$K$3:$K$501,"=641")</f>
        <v>0</v>
      </c>
      <c r="L53" s="162">
        <f>SUMIFS('Plan prihoda za unos u SAP'!$H$3:$H$501,'Plan prihoda za unos u SAP'!$C$3:$C$501,"=563",'Plan prihoda za unos u SAP'!$K$3:$K$501,"=641")</f>
        <v>0</v>
      </c>
      <c r="M53" s="162">
        <f>SUMIFS('Plan prihoda za unos u SAP'!$H$3:$H$501,'Plan prihoda za unos u SAP'!$C$3:$C$501,"=61",'Plan prihoda za unos u SAP'!$K$3:$K$501,"=641")</f>
        <v>0</v>
      </c>
      <c r="N53" s="162">
        <f>SUMIFS('Plan prihoda za unos u SAP'!$H$3:$H$501,'Plan prihoda za unos u SAP'!$C$3:$C$501,"=63",'Plan prihoda za unos u SAP'!$K$3:$K$501,"=641")</f>
        <v>0</v>
      </c>
      <c r="O53" s="162">
        <f>SUMIFS('Plan prihoda za unos u SAP'!$H$3:$H$501,'Plan prihoda za unos u SAP'!$C$3:$C$501,"=71",'Plan prihoda za unos u SAP'!$K$3:$K$501,"=641")</f>
        <v>0</v>
      </c>
      <c r="P53" s="162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298</v>
      </c>
      <c r="B54" s="97" t="s">
        <v>299</v>
      </c>
      <c r="C54" s="71">
        <f t="shared" si="16"/>
        <v>0</v>
      </c>
      <c r="D54" s="162">
        <f>SUMIFS('Plan prihoda za unos u SAP'!$H$3:$H$501,'Plan prihoda za unos u SAP'!$C$3:$C$501,"=11",'Plan prihoda za unos u SAP'!$K$3:$K$501,"=642")</f>
        <v>0</v>
      </c>
      <c r="E54" s="162">
        <f>SUMIFS('Plan prihoda za unos u SAP'!$H$3:$H$501,'Plan prihoda za unos u SAP'!$C$3:$C$501,"=12",'Plan prihoda za unos u SAP'!$K$3:$K$501,"=642")</f>
        <v>0</v>
      </c>
      <c r="F54" s="162">
        <f>SUMIFS('Plan prihoda za unos u SAP'!$H$3:$H$501,'Plan prihoda za unos u SAP'!$C$3:$C$501,"=31",'Plan prihoda za unos u SAP'!$K$3:$K$501,"=642")</f>
        <v>0</v>
      </c>
      <c r="G54" s="162">
        <f>SUMIFS('Plan prihoda za unos u SAP'!$H$3:$H$501,'Plan prihoda za unos u SAP'!$C$3:$C$501,"=43",'Plan prihoda za unos u SAP'!$K$3:$K$501,"=642")</f>
        <v>0</v>
      </c>
      <c r="H54" s="162">
        <f>SUMIFS('Plan prihoda za unos u SAP'!$H$3:$H$501,'Plan prihoda za unos u SAP'!$C$3:$C$501,"=51",'Plan prihoda za unos u SAP'!$K$3:$K$501,"=642")</f>
        <v>0</v>
      </c>
      <c r="I54" s="162">
        <f>SUMIFS('Plan prihoda za unos u SAP'!$H$3:$H$501,'Plan prihoda za unos u SAP'!$C$3:$C$501,"=52",'Plan prihoda za unos u SAP'!$K$3:$K$501,"=642")</f>
        <v>0</v>
      </c>
      <c r="J54" s="162">
        <f>SUMIFS('Plan prihoda za unos u SAP'!$H$3:$H$501,'Plan prihoda za unos u SAP'!$C$3:$C$501,"=559",'Plan prihoda za unos u SAP'!$K$3:$K$501,"=642")</f>
        <v>0</v>
      </c>
      <c r="K54" s="162">
        <f>SUMIFS('Plan prihoda za unos u SAP'!$H$3:$H$501,'Plan prihoda za unos u SAP'!$C$3:$C$501,"=561",'Plan prihoda za unos u SAP'!$K$3:$K$501,"=642")</f>
        <v>0</v>
      </c>
      <c r="L54" s="162">
        <f>SUMIFS('Plan prihoda za unos u SAP'!$H$3:$H$501,'Plan prihoda za unos u SAP'!$C$3:$C$501,"=563",'Plan prihoda za unos u SAP'!$K$3:$K$501,"=642")</f>
        <v>0</v>
      </c>
      <c r="M54" s="162">
        <f>SUMIFS('Plan prihoda za unos u SAP'!$H$3:$H$501,'Plan prihoda za unos u SAP'!$C$3:$C$501,"=61",'Plan prihoda za unos u SAP'!$K$3:$K$501,"=642")</f>
        <v>0</v>
      </c>
      <c r="N54" s="162">
        <f>SUMIFS('Plan prihoda za unos u SAP'!$H$3:$H$501,'Plan prihoda za unos u SAP'!$C$3:$C$501,"=63",'Plan prihoda za unos u SAP'!$K$3:$K$501,"=642")</f>
        <v>0</v>
      </c>
      <c r="O54" s="162">
        <f>SUMIFS('Plan prihoda za unos u SAP'!$H$3:$H$501,'Plan prihoda za unos u SAP'!$C$3:$C$501,"=71",'Plan prihoda za unos u SAP'!$K$3:$K$501,"=642")</f>
        <v>0</v>
      </c>
      <c r="P54" s="162">
        <f>SUMIFS('Plan prihoda za unos u SAP'!$H$3:$H$501,'Plan prihoda za unos u SAP'!$C$3:$C$501,"=81",'Plan prihoda za unos u SAP'!$K$3:$K$501,"=642")</f>
        <v>0</v>
      </c>
    </row>
    <row r="55" spans="1:16" s="91" customFormat="1">
      <c r="A55" s="199" t="s">
        <v>385</v>
      </c>
      <c r="B55" s="97" t="s">
        <v>384</v>
      </c>
      <c r="C55" s="71">
        <f>SUM(D55:P55)</f>
        <v>0</v>
      </c>
      <c r="D55" s="162">
        <f>SUMIFS('Plan prihoda za unos u SAP'!$H$3:$H$501,'Plan prihoda za unos u SAP'!$C$3:$C$501,"=11",'Plan prihoda za unos u SAP'!$K$3:$K$501,"=651")</f>
        <v>0</v>
      </c>
      <c r="E55" s="162">
        <f>SUMIFS('Plan prihoda za unos u SAP'!$H$3:$H$501,'Plan prihoda za unos u SAP'!$C$3:$C$501,"=12",'Plan prihoda za unos u SAP'!$K$3:$K$501,"=651")</f>
        <v>0</v>
      </c>
      <c r="F55" s="162">
        <f>SUMIFS('Plan prihoda za unos u SAP'!$H$3:$H$501,'Plan prihoda za unos u SAP'!$C$3:$C$501,"=31",'Plan prihoda za unos u SAP'!$K$3:$K$501,"=651")</f>
        <v>0</v>
      </c>
      <c r="G55" s="162">
        <f>SUMIFS('Plan prihoda za unos u SAP'!$H$3:$H$501,'Plan prihoda za unos u SAP'!$C$3:$C$501,"=43",'Plan prihoda za unos u SAP'!$K$3:$K$501,"=651")</f>
        <v>0</v>
      </c>
      <c r="H55" s="162">
        <f>SUMIFS('Plan prihoda za unos u SAP'!$H$3:$H$501,'Plan prihoda za unos u SAP'!$C$3:$C$501,"=51",'Plan prihoda za unos u SAP'!$K$3:$K$501,"=651")</f>
        <v>0</v>
      </c>
      <c r="I55" s="162">
        <f>SUMIFS('Plan prihoda za unos u SAP'!$H$3:$H$501,'Plan prihoda za unos u SAP'!$C$3:$C$501,"=52",'Plan prihoda za unos u SAP'!$K$3:$K$501,"=651")</f>
        <v>0</v>
      </c>
      <c r="J55" s="162">
        <f>SUMIFS('Plan prihoda za unos u SAP'!$H$3:$H$501,'Plan prihoda za unos u SAP'!$C$3:$C$501,"=559",'Plan prihoda za unos u SAP'!$K$3:$K$501,"=651")</f>
        <v>0</v>
      </c>
      <c r="K55" s="162">
        <f>SUMIFS('Plan prihoda za unos u SAP'!$H$3:$H$501,'Plan prihoda za unos u SAP'!$C$3:$C$501,"=561",'Plan prihoda za unos u SAP'!$K$3:$K$501,"=651")</f>
        <v>0</v>
      </c>
      <c r="L55" s="162">
        <f>SUMIFS('Plan prihoda za unos u SAP'!$H$3:$H$501,'Plan prihoda za unos u SAP'!$C$3:$C$501,"=563",'Plan prihoda za unos u SAP'!$K$3:$K$501,"=651")</f>
        <v>0</v>
      </c>
      <c r="M55" s="162">
        <f>SUMIFS('Plan prihoda za unos u SAP'!$H$3:$H$501,'Plan prihoda za unos u SAP'!$C$3:$C$501,"=61",'Plan prihoda za unos u SAP'!$K$3:$K$501,"=651")</f>
        <v>0</v>
      </c>
      <c r="N55" s="162">
        <f>SUMIFS('Plan prihoda za unos u SAP'!$H$3:$H$501,'Plan prihoda za unos u SAP'!$C$3:$C$501,"=63",'Plan prihoda za unos u SAP'!$K$3:$K$501,"=651")</f>
        <v>0</v>
      </c>
      <c r="O55" s="162">
        <f>SUMIFS('Plan prihoda za unos u SAP'!$H$3:$H$501,'Plan prihoda za unos u SAP'!$C$3:$C$501,"=71",'Plan prihoda za unos u SAP'!$K$3:$K$501,"=651")</f>
        <v>0</v>
      </c>
      <c r="P55" s="162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300</v>
      </c>
      <c r="B56" s="97" t="s">
        <v>301</v>
      </c>
      <c r="C56" s="71">
        <f t="shared" si="16"/>
        <v>7978569</v>
      </c>
      <c r="D56" s="162">
        <f>SUMIFS('Plan prihoda za unos u SAP'!$H$3:$H$501,'Plan prihoda za unos u SAP'!$C$3:$C$501,"=11",'Plan prihoda za unos u SAP'!$K$3:$K$501,"=652")</f>
        <v>0</v>
      </c>
      <c r="E56" s="162">
        <f>SUMIFS('Plan prihoda za unos u SAP'!$H$3:$H$501,'Plan prihoda za unos u SAP'!$C$3:$C$501,"=12",'Plan prihoda za unos u SAP'!$K$3:$K$501,"=652")</f>
        <v>0</v>
      </c>
      <c r="F56" s="162">
        <f>SUMIFS('Plan prihoda za unos u SAP'!$H$3:$H$501,'Plan prihoda za unos u SAP'!$C$3:$C$501,"=31",'Plan prihoda za unos u SAP'!$K$3:$K$501,"=652")</f>
        <v>0</v>
      </c>
      <c r="G56" s="162">
        <f>SUMIFS('Plan prihoda za unos u SAP'!$H$3:$H$501,'Plan prihoda za unos u SAP'!$C$3:$C$501,"=43",'Plan prihoda za unos u SAP'!$K$3:$K$501,"=652")</f>
        <v>7978569</v>
      </c>
      <c r="H56" s="162">
        <f>SUMIFS('Plan prihoda za unos u SAP'!$H$3:$H$501,'Plan prihoda za unos u SAP'!$C$3:$C$501,"=51",'Plan prihoda za unos u SAP'!$K$3:$K$501,"=652")</f>
        <v>0</v>
      </c>
      <c r="I56" s="162">
        <f>SUMIFS('Plan prihoda za unos u SAP'!$H$3:$H$501,'Plan prihoda za unos u SAP'!$C$3:$C$501,"=52",'Plan prihoda za unos u SAP'!$K$3:$K$501,"=652")</f>
        <v>0</v>
      </c>
      <c r="J56" s="162">
        <f>SUMIFS('Plan prihoda za unos u SAP'!$H$3:$H$501,'Plan prihoda za unos u SAP'!$C$3:$C$501,"=559",'Plan prihoda za unos u SAP'!$K$3:$K$501,"=652")</f>
        <v>0</v>
      </c>
      <c r="K56" s="162">
        <f>SUMIFS('Plan prihoda za unos u SAP'!$H$3:$H$501,'Plan prihoda za unos u SAP'!$C$3:$C$501,"=561",'Plan prihoda za unos u SAP'!$K$3:$K$501,"=652")</f>
        <v>0</v>
      </c>
      <c r="L56" s="162">
        <f>SUMIFS('Plan prihoda za unos u SAP'!$H$3:$H$501,'Plan prihoda za unos u SAP'!$C$3:$C$501,"=563",'Plan prihoda za unos u SAP'!$K$3:$K$501,"=652")</f>
        <v>0</v>
      </c>
      <c r="M56" s="162">
        <f>SUMIFS('Plan prihoda za unos u SAP'!$H$3:$H$501,'Plan prihoda za unos u SAP'!$C$3:$C$501,"=61",'Plan prihoda za unos u SAP'!$K$3:$K$501,"=652")</f>
        <v>0</v>
      </c>
      <c r="N56" s="162">
        <f>SUMIFS('Plan prihoda za unos u SAP'!$H$3:$H$501,'Plan prihoda za unos u SAP'!$C$3:$C$501,"=63",'Plan prihoda za unos u SAP'!$K$3:$K$501,"=652")</f>
        <v>0</v>
      </c>
      <c r="O56" s="162">
        <f>SUMIFS('Plan prihoda za unos u SAP'!$H$3:$H$501,'Plan prihoda za unos u SAP'!$C$3:$C$501,"=71",'Plan prihoda za unos u SAP'!$K$3:$K$501,"=652")</f>
        <v>0</v>
      </c>
      <c r="P56" s="162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302</v>
      </c>
      <c r="B57" s="97" t="s">
        <v>303</v>
      </c>
      <c r="C57" s="71">
        <f t="shared" si="16"/>
        <v>1220679</v>
      </c>
      <c r="D57" s="162">
        <f>SUMIFS('Plan prihoda za unos u SAP'!$H$3:$H$501,'Plan prihoda za unos u SAP'!$C$3:$C$501,"=11",'Plan prihoda za unos u SAP'!$K$3:$K$501,"=661")</f>
        <v>0</v>
      </c>
      <c r="E57" s="162">
        <f>SUMIFS('Plan prihoda za unos u SAP'!$H$3:$H$501,'Plan prihoda za unos u SAP'!$C$3:$C$501,"=12",'Plan prihoda za unos u SAP'!$K$3:$K$501,"=661")</f>
        <v>0</v>
      </c>
      <c r="F57" s="162">
        <f>SUMIFS('Plan prihoda za unos u SAP'!$H$3:$H$501,'Plan prihoda za unos u SAP'!$C$3:$C$501,"=31",'Plan prihoda za unos u SAP'!$K$3:$K$501,"=661")</f>
        <v>1220679</v>
      </c>
      <c r="G57" s="162">
        <f>SUMIFS('Plan prihoda za unos u SAP'!$H$3:$H$501,'Plan prihoda za unos u SAP'!$C$3:$C$501,"=43",'Plan prihoda za unos u SAP'!$K$3:$K$501,"=661")</f>
        <v>0</v>
      </c>
      <c r="H57" s="162">
        <f>SUMIFS('Plan prihoda za unos u SAP'!$H$3:$H$501,'Plan prihoda za unos u SAP'!$C$3:$C$501,"=51",'Plan prihoda za unos u SAP'!$K$3:$K$501,"=661")</f>
        <v>0</v>
      </c>
      <c r="I57" s="162">
        <f>SUMIFS('Plan prihoda za unos u SAP'!$H$3:$H$501,'Plan prihoda za unos u SAP'!$C$3:$C$501,"=52",'Plan prihoda za unos u SAP'!$K$3:$K$501,"=661")</f>
        <v>0</v>
      </c>
      <c r="J57" s="162">
        <f>SUMIFS('Plan prihoda za unos u SAP'!$H$3:$H$501,'Plan prihoda za unos u SAP'!$C$3:$C$501,"=559",'Plan prihoda za unos u SAP'!$K$3:$K$501,"=661")</f>
        <v>0</v>
      </c>
      <c r="K57" s="162">
        <f>SUMIFS('Plan prihoda za unos u SAP'!$H$3:$H$501,'Plan prihoda za unos u SAP'!$C$3:$C$501,"=561",'Plan prihoda za unos u SAP'!$K$3:$K$501,"=661")</f>
        <v>0</v>
      </c>
      <c r="L57" s="162">
        <f>SUMIFS('Plan prihoda za unos u SAP'!$H$3:$H$501,'Plan prihoda za unos u SAP'!$C$3:$C$501,"=563",'Plan prihoda za unos u SAP'!$K$3:$K$501,"=661")</f>
        <v>0</v>
      </c>
      <c r="M57" s="162">
        <f>SUMIFS('Plan prihoda za unos u SAP'!$H$3:$H$501,'Plan prihoda za unos u SAP'!$C$3:$C$501,"=61",'Plan prihoda za unos u SAP'!$K$3:$K$501,"=661")</f>
        <v>0</v>
      </c>
      <c r="N57" s="162">
        <f>SUMIFS('Plan prihoda za unos u SAP'!$H$3:$H$501,'Plan prihoda za unos u SAP'!$C$3:$C$501,"=63",'Plan prihoda za unos u SAP'!$K$3:$K$501,"=661")</f>
        <v>0</v>
      </c>
      <c r="O57" s="162">
        <f>SUMIFS('Plan prihoda za unos u SAP'!$H$3:$H$501,'Plan prihoda za unos u SAP'!$C$3:$C$501,"=71",'Plan prihoda za unos u SAP'!$K$3:$K$501,"=661")</f>
        <v>0</v>
      </c>
      <c r="P57" s="162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304</v>
      </c>
      <c r="B58" s="97" t="s">
        <v>305</v>
      </c>
      <c r="C58" s="71">
        <f t="shared" si="16"/>
        <v>807482</v>
      </c>
      <c r="D58" s="162">
        <f>SUMIFS('Plan prihoda za unos u SAP'!$H$3:$H$501,'Plan prihoda za unos u SAP'!$C$3:$C$501,"=11",'Plan prihoda za unos u SAP'!$K$3:$K$501,"=663")</f>
        <v>0</v>
      </c>
      <c r="E58" s="162">
        <f>SUMIFS('Plan prihoda za unos u SAP'!$H$3:$H$501,'Plan prihoda za unos u SAP'!$C$3:$C$501,"=12",'Plan prihoda za unos u SAP'!$K$3:$K$501,"=663")</f>
        <v>0</v>
      </c>
      <c r="F58" s="162">
        <f>SUMIFS('Plan prihoda za unos u SAP'!$H$3:$H$501,'Plan prihoda za unos u SAP'!$C$3:$C$501,"=31",'Plan prihoda za unos u SAP'!$K$3:$K$501,"=663")</f>
        <v>0</v>
      </c>
      <c r="G58" s="162">
        <f>SUMIFS('Plan prihoda za unos u SAP'!$H$3:$H$501,'Plan prihoda za unos u SAP'!$C$3:$C$501,"=43",'Plan prihoda za unos u SAP'!$K$3:$K$501,"=663")</f>
        <v>0</v>
      </c>
      <c r="H58" s="162">
        <f>SUMIFS('Plan prihoda za unos u SAP'!$H$3:$H$501,'Plan prihoda za unos u SAP'!$C$3:$C$501,"=51",'Plan prihoda za unos u SAP'!$K$3:$K$501,"=663")</f>
        <v>0</v>
      </c>
      <c r="I58" s="162">
        <f>SUMIFS('Plan prihoda za unos u SAP'!$H$3:$H$501,'Plan prihoda za unos u SAP'!$C$3:$C$501,"=52",'Plan prihoda za unos u SAP'!$K$3:$K$501,"=663")</f>
        <v>0</v>
      </c>
      <c r="J58" s="162">
        <f>SUMIFS('Plan prihoda za unos u SAP'!$H$3:$H$501,'Plan prihoda za unos u SAP'!$C$3:$C$501,"=559",'Plan prihoda za unos u SAP'!$K$3:$K$501,"=663")</f>
        <v>0</v>
      </c>
      <c r="K58" s="162">
        <f>SUMIFS('Plan prihoda za unos u SAP'!$H$3:$H$501,'Plan prihoda za unos u SAP'!$C$3:$C$501,"=561",'Plan prihoda za unos u SAP'!$K$3:$K$501,"=663")</f>
        <v>0</v>
      </c>
      <c r="L58" s="162">
        <f>SUMIFS('Plan prihoda za unos u SAP'!$H$3:$H$501,'Plan prihoda za unos u SAP'!$C$3:$C$501,"=563",'Plan prihoda za unos u SAP'!$K$3:$K$501,"=663")</f>
        <v>0</v>
      </c>
      <c r="M58" s="162">
        <f>SUMIFS('Plan prihoda za unos u SAP'!$H$3:$H$501,'Plan prihoda za unos u SAP'!$C$3:$C$501,"=61",'Plan prihoda za unos u SAP'!$K$3:$K$501,"=663")</f>
        <v>807482</v>
      </c>
      <c r="N58" s="162">
        <f>SUMIFS('Plan prihoda za unos u SAP'!$H$3:$H$501,'Plan prihoda za unos u SAP'!$C$3:$C$501,"=63",'Plan prihoda za unos u SAP'!$K$3:$K$501,"=663")</f>
        <v>0</v>
      </c>
      <c r="O58" s="162">
        <f>SUMIFS('Plan prihoda za unos u SAP'!$H$3:$H$501,'Plan prihoda za unos u SAP'!$C$3:$C$501,"=71",'Plan prihoda za unos u SAP'!$K$3:$K$501,"=663")</f>
        <v>0</v>
      </c>
      <c r="P58" s="162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306</v>
      </c>
      <c r="B59" s="97" t="s">
        <v>266</v>
      </c>
      <c r="C59" s="71">
        <f t="shared" si="16"/>
        <v>61560375.257892199</v>
      </c>
      <c r="D59" s="162">
        <f>SUMIFS('Plan prihoda za unos u SAP'!$H$3:$H$501,'Plan prihoda za unos u SAP'!$C$3:$C$501,"=11",'Plan prihoda za unos u SAP'!$K$3:$K$501,"=671")</f>
        <v>60367162.257892199</v>
      </c>
      <c r="E59" s="162">
        <f>SUMIFS('Plan prihoda za unos u SAP'!$H$3:$H$501,'Plan prihoda za unos u SAP'!$C$3:$C$501,"=12",'Plan prihoda za unos u SAP'!$K$3:$K$501,"=671")</f>
        <v>1193213</v>
      </c>
      <c r="F59" s="162">
        <f>SUMIFS('Plan prihoda za unos u SAP'!$H$3:$H$501,'Plan prihoda za unos u SAP'!$C$3:$C$501,"=31",'Plan prihoda za unos u SAP'!$K$3:$K$501,"=671")</f>
        <v>0</v>
      </c>
      <c r="G59" s="162">
        <f>SUMIFS('Plan prihoda za unos u SAP'!$H$3:$H$501,'Plan prihoda za unos u SAP'!$C$3:$C$501,"=43",'Plan prihoda za unos u SAP'!$K$3:$K$501,"=671")</f>
        <v>0</v>
      </c>
      <c r="H59" s="162">
        <f>SUMIFS('Plan prihoda za unos u SAP'!$H$3:$H$501,'Plan prihoda za unos u SAP'!$C$3:$C$501,"=51",'Plan prihoda za unos u SAP'!$K$3:$K$501,"=671")</f>
        <v>0</v>
      </c>
      <c r="I59" s="162">
        <f>SUMIFS('Plan prihoda za unos u SAP'!$H$3:$H$501,'Plan prihoda za unos u SAP'!$C$3:$C$501,"=52",'Plan prihoda za unos u SAP'!$K$3:$K$501,"=671")</f>
        <v>0</v>
      </c>
      <c r="J59" s="162">
        <f>SUMIFS('Plan prihoda za unos u SAP'!$H$3:$H$501,'Plan prihoda za unos u SAP'!$C$3:$C$501,"=559",'Plan prihoda za unos u SAP'!$K$3:$K$501,"=671")</f>
        <v>0</v>
      </c>
      <c r="K59" s="162">
        <f>SUMIFS('Plan prihoda za unos u SAP'!$H$3:$H$501,'Plan prihoda za unos u SAP'!$C$3:$C$501,"=561",'Plan prihoda za unos u SAP'!$K$3:$K$501,"=671")</f>
        <v>0</v>
      </c>
      <c r="L59" s="162">
        <f>SUMIFS('Plan prihoda za unos u SAP'!$H$3:$H$501,'Plan prihoda za unos u SAP'!$C$3:$C$501,"=563",'Plan prihoda za unos u SAP'!$K$3:$K$501,"=671")</f>
        <v>0</v>
      </c>
      <c r="M59" s="162">
        <f>SUMIFS('Plan prihoda za unos u SAP'!$H$3:$H$501,'Plan prihoda za unos u SAP'!$C$3:$C$501,"=61",'Plan prihoda za unos u SAP'!$K$3:$K$501,"=671")</f>
        <v>0</v>
      </c>
      <c r="N59" s="162">
        <f>SUMIFS('Plan prihoda za unos u SAP'!$H$3:$H$501,'Plan prihoda za unos u SAP'!$C$3:$C$501,"=63",'Plan prihoda za unos u SAP'!$K$3:$K$501,"=671")</f>
        <v>0</v>
      </c>
      <c r="O59" s="162">
        <f>SUMIFS('Plan prihoda za unos u SAP'!$H$3:$H$501,'Plan prihoda za unos u SAP'!$C$3:$C$501,"=71",'Plan prihoda za unos u SAP'!$K$3:$K$501,"=671")</f>
        <v>0</v>
      </c>
      <c r="P59" s="162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307</v>
      </c>
      <c r="B60" s="97" t="s">
        <v>308</v>
      </c>
      <c r="C60" s="71">
        <f t="shared" si="16"/>
        <v>0</v>
      </c>
      <c r="D60" s="162">
        <f>SUMIFS('Plan prihoda za unos u SAP'!$H$3:$H$501,'Plan prihoda za unos u SAP'!$C$3:$C$501,"=11",'Plan prihoda za unos u SAP'!$K$3:$K$501,"=681")</f>
        <v>0</v>
      </c>
      <c r="E60" s="162">
        <f>SUMIFS('Plan prihoda za unos u SAP'!$H$3:$H$501,'Plan prihoda za unos u SAP'!$C$3:$C$501,"=12",'Plan prihoda za unos u SAP'!$K$3:$K$501,"=681")</f>
        <v>0</v>
      </c>
      <c r="F60" s="162">
        <f>SUMIFS('Plan prihoda za unos u SAP'!$H$3:$H$501,'Plan prihoda za unos u SAP'!$C$3:$C$501,"=31",'Plan prihoda za unos u SAP'!$K$3:$K$501,"=681")</f>
        <v>0</v>
      </c>
      <c r="G60" s="162">
        <f>SUMIFS('Plan prihoda za unos u SAP'!$H$3:$H$501,'Plan prihoda za unos u SAP'!$C$3:$C$501,"=43",'Plan prihoda za unos u SAP'!$K$3:$K$501,"=681")</f>
        <v>0</v>
      </c>
      <c r="H60" s="162">
        <f>SUMIFS('Plan prihoda za unos u SAP'!$H$3:$H$501,'Plan prihoda za unos u SAP'!$C$3:$C$501,"=51",'Plan prihoda za unos u SAP'!$K$3:$K$501,"=681")</f>
        <v>0</v>
      </c>
      <c r="I60" s="162">
        <f>SUMIFS('Plan prihoda za unos u SAP'!$H$3:$H$501,'Plan prihoda za unos u SAP'!$C$3:$C$501,"=52",'Plan prihoda za unos u SAP'!$K$3:$K$501,"=681")</f>
        <v>0</v>
      </c>
      <c r="J60" s="162">
        <f>SUMIFS('Plan prihoda za unos u SAP'!$H$3:$H$501,'Plan prihoda za unos u SAP'!$C$3:$C$501,"=559",'Plan prihoda za unos u SAP'!$K$3:$K$501,"=681")</f>
        <v>0</v>
      </c>
      <c r="K60" s="162">
        <f>SUMIFS('Plan prihoda za unos u SAP'!$H$3:$H$501,'Plan prihoda za unos u SAP'!$C$3:$C$501,"=561",'Plan prihoda za unos u SAP'!$K$3:$K$501,"=681")</f>
        <v>0</v>
      </c>
      <c r="L60" s="162">
        <f>SUMIFS('Plan prihoda za unos u SAP'!$H$3:$H$501,'Plan prihoda za unos u SAP'!$C$3:$C$501,"=563",'Plan prihoda za unos u SAP'!$K$3:$K$501,"=681")</f>
        <v>0</v>
      </c>
      <c r="M60" s="162">
        <f>SUMIFS('Plan prihoda za unos u SAP'!$H$3:$H$501,'Plan prihoda za unos u SAP'!$C$3:$C$501,"=61",'Plan prihoda za unos u SAP'!$K$3:$K$501,"=681")</f>
        <v>0</v>
      </c>
      <c r="N60" s="162">
        <f>SUMIFS('Plan prihoda za unos u SAP'!$H$3:$H$501,'Plan prihoda za unos u SAP'!$C$3:$C$501,"=63",'Plan prihoda za unos u SAP'!$K$3:$K$501,"=681")</f>
        <v>0</v>
      </c>
      <c r="O60" s="162">
        <f>SUMIFS('Plan prihoda za unos u SAP'!$H$3:$H$501,'Plan prihoda za unos u SAP'!$C$3:$C$501,"=71",'Plan prihoda za unos u SAP'!$K$3:$K$501,"=681")</f>
        <v>0</v>
      </c>
      <c r="P60" s="162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309</v>
      </c>
      <c r="B61" s="97" t="s">
        <v>310</v>
      </c>
      <c r="C61" s="71">
        <f t="shared" si="16"/>
        <v>0</v>
      </c>
      <c r="D61" s="162">
        <f>SUMIFS('Plan prihoda za unos u SAP'!$H$3:$H$501,'Plan prihoda za unos u SAP'!$C$3:$C$501,"=11",'Plan prihoda za unos u SAP'!$K$3:$K$501,"=683")</f>
        <v>0</v>
      </c>
      <c r="E61" s="162">
        <f>SUMIFS('Plan prihoda za unos u SAP'!$H$3:$H$501,'Plan prihoda za unos u SAP'!$C$3:$C$501,"=12",'Plan prihoda za unos u SAP'!$K$3:$K$501,"=683")</f>
        <v>0</v>
      </c>
      <c r="F61" s="162">
        <f>SUMIFS('Plan prihoda za unos u SAP'!$H$3:$H$501,'Plan prihoda za unos u SAP'!$C$3:$C$501,"=31",'Plan prihoda za unos u SAP'!$K$3:$K$501,"=683")</f>
        <v>0</v>
      </c>
      <c r="G61" s="162">
        <f>SUMIFS('Plan prihoda za unos u SAP'!$H$3:$H$501,'Plan prihoda za unos u SAP'!$C$3:$C$501,"=43",'Plan prihoda za unos u SAP'!$K$3:$K$501,"=683")</f>
        <v>0</v>
      </c>
      <c r="H61" s="162">
        <f>SUMIFS('Plan prihoda za unos u SAP'!$H$3:$H$501,'Plan prihoda za unos u SAP'!$C$3:$C$501,"=51",'Plan prihoda za unos u SAP'!$K$3:$K$501,"=683")</f>
        <v>0</v>
      </c>
      <c r="I61" s="162">
        <f>SUMIFS('Plan prihoda za unos u SAP'!$H$3:$H$501,'Plan prihoda za unos u SAP'!$C$3:$C$501,"=52",'Plan prihoda za unos u SAP'!$K$3:$K$501,"=683")</f>
        <v>0</v>
      </c>
      <c r="J61" s="162">
        <f>SUMIFS('Plan prihoda za unos u SAP'!$H$3:$H$501,'Plan prihoda za unos u SAP'!$C$3:$C$501,"=559",'Plan prihoda za unos u SAP'!$K$3:$K$501,"=683")</f>
        <v>0</v>
      </c>
      <c r="K61" s="162">
        <f>SUMIFS('Plan prihoda za unos u SAP'!$H$3:$H$501,'Plan prihoda za unos u SAP'!$C$3:$C$501,"=561",'Plan prihoda za unos u SAP'!$K$3:$K$501,"=683")</f>
        <v>0</v>
      </c>
      <c r="L61" s="162">
        <f>SUMIFS('Plan prihoda za unos u SAP'!$H$3:$H$501,'Plan prihoda za unos u SAP'!$C$3:$C$501,"=563",'Plan prihoda za unos u SAP'!$K$3:$K$501,"=683")</f>
        <v>0</v>
      </c>
      <c r="M61" s="162">
        <f>SUMIFS('Plan prihoda za unos u SAP'!$H$3:$H$501,'Plan prihoda za unos u SAP'!$C$3:$C$501,"=61",'Plan prihoda za unos u SAP'!$K$3:$K$501,"=683")</f>
        <v>0</v>
      </c>
      <c r="N61" s="162">
        <f>SUMIFS('Plan prihoda za unos u SAP'!$H$3:$H$501,'Plan prihoda za unos u SAP'!$C$3:$C$501,"=63",'Plan prihoda za unos u SAP'!$K$3:$K$501,"=683")</f>
        <v>0</v>
      </c>
      <c r="O61" s="162">
        <f>SUMIFS('Plan prihoda za unos u SAP'!$H$3:$H$501,'Plan prihoda za unos u SAP'!$C$3:$C$501,"=71",'Plan prihoda za unos u SAP'!$K$3:$K$501,"=683")</f>
        <v>0</v>
      </c>
      <c r="P61" s="162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311</v>
      </c>
      <c r="B62" s="100" t="s">
        <v>312</v>
      </c>
      <c r="C62" s="71">
        <f t="shared" si="16"/>
        <v>80098535.257892191</v>
      </c>
      <c r="D62" s="4">
        <f t="shared" ref="D62:P62" si="17">SUM(D47:D61)</f>
        <v>60367162.257892199</v>
      </c>
      <c r="E62" s="4">
        <f t="shared" si="17"/>
        <v>1193213</v>
      </c>
      <c r="F62" s="4">
        <f t="shared" si="17"/>
        <v>1226536</v>
      </c>
      <c r="G62" s="4">
        <f t="shared" si="17"/>
        <v>7978569</v>
      </c>
      <c r="H62" s="4">
        <f t="shared" si="17"/>
        <v>0</v>
      </c>
      <c r="I62" s="4">
        <f t="shared" si="17"/>
        <v>1764035</v>
      </c>
      <c r="J62" s="4">
        <f t="shared" si="17"/>
        <v>0</v>
      </c>
      <c r="K62" s="4">
        <f t="shared" si="17"/>
        <v>0</v>
      </c>
      <c r="L62" s="4">
        <f t="shared" si="17"/>
        <v>6761538</v>
      </c>
      <c r="M62" s="4">
        <f t="shared" si="17"/>
        <v>807482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324</v>
      </c>
      <c r="B63" s="101" t="s">
        <v>325</v>
      </c>
      <c r="C63" s="71">
        <f t="shared" si="16"/>
        <v>0</v>
      </c>
      <c r="D63" s="162">
        <f>SUMIFS('Plan prihoda za unos u SAP'!$H$3:$H$501,'Plan prihoda za unos u SAP'!$C$3:$C$501,"=11",'Plan prihoda za unos u SAP'!$K$3:$K$501,"=711")</f>
        <v>0</v>
      </c>
      <c r="E63" s="162">
        <f>SUMIFS('Plan prihoda za unos u SAP'!$H$3:$H$501,'Plan prihoda za unos u SAP'!$C$3:$C$501,"=12",'Plan prihoda za unos u SAP'!$K$3:$K$501,"=711")</f>
        <v>0</v>
      </c>
      <c r="F63" s="162">
        <f>SUMIFS('Plan prihoda za unos u SAP'!$H$3:$H$501,'Plan prihoda za unos u SAP'!$C$3:$C$501,"=31",'Plan prihoda za unos u SAP'!$K$3:$K$501,"=711")</f>
        <v>0</v>
      </c>
      <c r="G63" s="162">
        <f>SUMIFS('Plan prihoda za unos u SAP'!$H$3:$H$501,'Plan prihoda za unos u SAP'!$C$3:$C$501,"=43",'Plan prihoda za unos u SAP'!$K$3:$K$501,"=711")</f>
        <v>0</v>
      </c>
      <c r="H63" s="162">
        <f>SUMIFS('Plan prihoda za unos u SAP'!$H$3:$H$501,'Plan prihoda za unos u SAP'!$C$3:$C$501,"=51",'Plan prihoda za unos u SAP'!$K$3:$K$501,"=711")</f>
        <v>0</v>
      </c>
      <c r="I63" s="162">
        <f>SUMIFS('Plan prihoda za unos u SAP'!$H$3:$H$501,'Plan prihoda za unos u SAP'!$C$3:$C$501,"=52",'Plan prihoda za unos u SAP'!$K$3:$K$501,"=711")</f>
        <v>0</v>
      </c>
      <c r="J63" s="162">
        <f>SUMIFS('Plan prihoda za unos u SAP'!$H$3:$H$501,'Plan prihoda za unos u SAP'!$C$3:$C$501,"=559",'Plan prihoda za unos u SAP'!$K$3:$K$501,"=711")</f>
        <v>0</v>
      </c>
      <c r="K63" s="162">
        <f>SUMIFS('Plan prihoda za unos u SAP'!$H$3:$H$501,'Plan prihoda za unos u SAP'!$C$3:$C$501,"=561",'Plan prihoda za unos u SAP'!$K$3:$K$501,"=711")</f>
        <v>0</v>
      </c>
      <c r="L63" s="162">
        <f>SUMIFS('Plan prihoda za unos u SAP'!$H$3:$H$501,'Plan prihoda za unos u SAP'!$C$3:$C$501,"=563",'Plan prihoda za unos u SAP'!$K$3:$K$501,"=711")</f>
        <v>0</v>
      </c>
      <c r="M63" s="162">
        <f>SUMIFS('Plan prihoda za unos u SAP'!$H$3:$H$501,'Plan prihoda za unos u SAP'!$C$3:$C$501,"=61",'Plan prihoda za unos u SAP'!$K$3:$K$501,"=711")</f>
        <v>0</v>
      </c>
      <c r="N63" s="162">
        <f>SUMIFS('Plan prihoda za unos u SAP'!$H$3:$H$501,'Plan prihoda za unos u SAP'!$C$3:$C$501,"=63",'Plan prihoda za unos u SAP'!$K$3:$K$501,"=711")</f>
        <v>0</v>
      </c>
      <c r="O63" s="162">
        <f>SUMIFS('Plan prihoda za unos u SAP'!$H$3:$H$501,'Plan prihoda za unos u SAP'!$C$3:$C$501,"=71",'Plan prihoda za unos u SAP'!$K$3:$K$501,"=711")</f>
        <v>0</v>
      </c>
      <c r="P63" s="162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326</v>
      </c>
      <c r="B64" s="101" t="s">
        <v>327</v>
      </c>
      <c r="C64" s="71">
        <f t="shared" si="16"/>
        <v>0</v>
      </c>
      <c r="D64" s="162">
        <f>SUMIFS('Plan prihoda za unos u SAP'!$H$3:$H$501,'Plan prihoda za unos u SAP'!$C$3:$C$501,"=11",'Plan prihoda za unos u SAP'!$K$3:$K$501,"=712")</f>
        <v>0</v>
      </c>
      <c r="E64" s="162">
        <f>SUMIFS('Plan prihoda za unos u SAP'!$H$3:$H$501,'Plan prihoda za unos u SAP'!$C$3:$C$501,"=12",'Plan prihoda za unos u SAP'!$K$3:$K$501,"=712")</f>
        <v>0</v>
      </c>
      <c r="F64" s="162">
        <f>SUMIFS('Plan prihoda za unos u SAP'!$H$3:$H$501,'Plan prihoda za unos u SAP'!$C$3:$C$501,"=31",'Plan prihoda za unos u SAP'!$K$3:$K$501,"=712")</f>
        <v>0</v>
      </c>
      <c r="G64" s="162">
        <f>SUMIFS('Plan prihoda za unos u SAP'!$H$3:$H$501,'Plan prihoda za unos u SAP'!$C$3:$C$501,"=43",'Plan prihoda za unos u SAP'!$K$3:$K$501,"=712")</f>
        <v>0</v>
      </c>
      <c r="H64" s="162">
        <f>SUMIFS('Plan prihoda za unos u SAP'!$H$3:$H$501,'Plan prihoda za unos u SAP'!$C$3:$C$501,"=51",'Plan prihoda za unos u SAP'!$K$3:$K$501,"=712")</f>
        <v>0</v>
      </c>
      <c r="I64" s="162">
        <f>SUMIFS('Plan prihoda za unos u SAP'!$H$3:$H$501,'Plan prihoda za unos u SAP'!$C$3:$C$501,"=52",'Plan prihoda za unos u SAP'!$K$3:$K$501,"=712")</f>
        <v>0</v>
      </c>
      <c r="J64" s="162">
        <f>SUMIFS('Plan prihoda za unos u SAP'!$H$3:$H$501,'Plan prihoda za unos u SAP'!$C$3:$C$501,"=559",'Plan prihoda za unos u SAP'!$K$3:$K$501,"=712")</f>
        <v>0</v>
      </c>
      <c r="K64" s="162">
        <f>SUMIFS('Plan prihoda za unos u SAP'!$H$3:$H$501,'Plan prihoda za unos u SAP'!$C$3:$C$501,"=561",'Plan prihoda za unos u SAP'!$K$3:$K$501,"=712")</f>
        <v>0</v>
      </c>
      <c r="L64" s="162">
        <f>SUMIFS('Plan prihoda za unos u SAP'!$H$3:$H$501,'Plan prihoda za unos u SAP'!$C$3:$C$501,"=563",'Plan prihoda za unos u SAP'!$K$3:$K$501,"=712")</f>
        <v>0</v>
      </c>
      <c r="M64" s="162">
        <f>SUMIFS('Plan prihoda za unos u SAP'!$H$3:$H$501,'Plan prihoda za unos u SAP'!$C$3:$C$501,"=61",'Plan prihoda za unos u SAP'!$K$3:$K$501,"=712")</f>
        <v>0</v>
      </c>
      <c r="N64" s="162">
        <f>SUMIFS('Plan prihoda za unos u SAP'!$H$3:$H$501,'Plan prihoda za unos u SAP'!$C$3:$C$501,"=63",'Plan prihoda za unos u SAP'!$K$3:$K$501,"=712")</f>
        <v>0</v>
      </c>
      <c r="O64" s="162">
        <f>SUMIFS('Plan prihoda za unos u SAP'!$H$3:$H$501,'Plan prihoda za unos u SAP'!$C$3:$C$501,"=71",'Plan prihoda za unos u SAP'!$K$3:$K$501,"=712")</f>
        <v>0</v>
      </c>
      <c r="P64" s="162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313</v>
      </c>
      <c r="B65" s="101" t="s">
        <v>314</v>
      </c>
      <c r="C65" s="71">
        <f t="shared" si="16"/>
        <v>0</v>
      </c>
      <c r="D65" s="162">
        <f>SUMIFS('Plan prihoda za unos u SAP'!$H$3:$H$501,'Plan prihoda za unos u SAP'!$C$3:$C$501,"=11",'Plan prihoda za unos u SAP'!$K$3:$K$501,"=721")</f>
        <v>0</v>
      </c>
      <c r="E65" s="162">
        <f>SUMIFS('Plan prihoda za unos u SAP'!$H$3:$H$501,'Plan prihoda za unos u SAP'!$C$3:$C$501,"=12",'Plan prihoda za unos u SAP'!$K$3:$K$501,"=721")</f>
        <v>0</v>
      </c>
      <c r="F65" s="162">
        <f>SUMIFS('Plan prihoda za unos u SAP'!$H$3:$H$501,'Plan prihoda za unos u SAP'!$C$3:$C$501,"=31",'Plan prihoda za unos u SAP'!$K$3:$K$501,"=721")</f>
        <v>0</v>
      </c>
      <c r="G65" s="162">
        <f>SUMIFS('Plan prihoda za unos u SAP'!$H$3:$H$501,'Plan prihoda za unos u SAP'!$C$3:$C$501,"=43",'Plan prihoda za unos u SAP'!$K$3:$K$501,"=721")</f>
        <v>0</v>
      </c>
      <c r="H65" s="162">
        <f>SUMIFS('Plan prihoda za unos u SAP'!$H$3:$H$501,'Plan prihoda za unos u SAP'!$C$3:$C$501,"=51",'Plan prihoda za unos u SAP'!$K$3:$K$501,"=721")</f>
        <v>0</v>
      </c>
      <c r="I65" s="162">
        <f>SUMIFS('Plan prihoda za unos u SAP'!$H$3:$H$501,'Plan prihoda za unos u SAP'!$C$3:$C$501,"=52",'Plan prihoda za unos u SAP'!$K$3:$K$501,"=721")</f>
        <v>0</v>
      </c>
      <c r="J65" s="162">
        <f>SUMIFS('Plan prihoda za unos u SAP'!$H$3:$H$501,'Plan prihoda za unos u SAP'!$C$3:$C$501,"=559",'Plan prihoda za unos u SAP'!$K$3:$K$501,"=721")</f>
        <v>0</v>
      </c>
      <c r="K65" s="162">
        <f>SUMIFS('Plan prihoda za unos u SAP'!$H$3:$H$501,'Plan prihoda za unos u SAP'!$C$3:$C$501,"=561",'Plan prihoda za unos u SAP'!$K$3:$K$501,"=721")</f>
        <v>0</v>
      </c>
      <c r="L65" s="162">
        <f>SUMIFS('Plan prihoda za unos u SAP'!$H$3:$H$501,'Plan prihoda za unos u SAP'!$C$3:$C$501,"=563",'Plan prihoda za unos u SAP'!$K$3:$K$501,"=721")</f>
        <v>0</v>
      </c>
      <c r="M65" s="162">
        <f>SUMIFS('Plan prihoda za unos u SAP'!$H$3:$H$501,'Plan prihoda za unos u SAP'!$C$3:$C$501,"=61",'Plan prihoda za unos u SAP'!$K$3:$K$501,"=721")</f>
        <v>0</v>
      </c>
      <c r="N65" s="162">
        <f>SUMIFS('Plan prihoda za unos u SAP'!$H$3:$H$501,'Plan prihoda za unos u SAP'!$C$3:$C$501,"=63",'Plan prihoda za unos u SAP'!$K$3:$K$501,"=721")</f>
        <v>0</v>
      </c>
      <c r="O65" s="162">
        <f>SUMIFS('Plan prihoda za unos u SAP'!$H$3:$H$501,'Plan prihoda za unos u SAP'!$C$3:$C$501,"=71",'Plan prihoda za unos u SAP'!$K$3:$K$501,"=721")</f>
        <v>0</v>
      </c>
      <c r="P65" s="162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315</v>
      </c>
      <c r="B66" s="101" t="s">
        <v>316</v>
      </c>
      <c r="C66" s="71">
        <f t="shared" si="16"/>
        <v>0</v>
      </c>
      <c r="D66" s="162">
        <f>SUMIFS('Plan prihoda za unos u SAP'!$H$3:$H$501,'Plan prihoda za unos u SAP'!$C$3:$C$501,"=11",'Plan prihoda za unos u SAP'!$K$3:$K$501,"=722")</f>
        <v>0</v>
      </c>
      <c r="E66" s="162">
        <f>SUMIFS('Plan prihoda za unos u SAP'!$H$3:$H$501,'Plan prihoda za unos u SAP'!$C$3:$C$501,"=12",'Plan prihoda za unos u SAP'!$K$3:$K$501,"=722")</f>
        <v>0</v>
      </c>
      <c r="F66" s="162">
        <f>SUMIFS('Plan prihoda za unos u SAP'!$H$3:$H$501,'Plan prihoda za unos u SAP'!$C$3:$C$501,"=31",'Plan prihoda za unos u SAP'!$K$3:$K$501,"=722")</f>
        <v>0</v>
      </c>
      <c r="G66" s="162">
        <f>SUMIFS('Plan prihoda za unos u SAP'!$H$3:$H$501,'Plan prihoda za unos u SAP'!$C$3:$C$501,"=43",'Plan prihoda za unos u SAP'!$K$3:$K$501,"=722")</f>
        <v>0</v>
      </c>
      <c r="H66" s="162">
        <f>SUMIFS('Plan prihoda za unos u SAP'!$H$3:$H$501,'Plan prihoda za unos u SAP'!$C$3:$C$501,"=51",'Plan prihoda za unos u SAP'!$K$3:$K$501,"=722")</f>
        <v>0</v>
      </c>
      <c r="I66" s="162">
        <f>SUMIFS('Plan prihoda za unos u SAP'!$H$3:$H$501,'Plan prihoda za unos u SAP'!$C$3:$C$501,"=52",'Plan prihoda za unos u SAP'!$K$3:$K$501,"=722")</f>
        <v>0</v>
      </c>
      <c r="J66" s="162">
        <f>SUMIFS('Plan prihoda za unos u SAP'!$H$3:$H$501,'Plan prihoda za unos u SAP'!$C$3:$C$501,"=559",'Plan prihoda za unos u SAP'!$K$3:$K$501,"=722")</f>
        <v>0</v>
      </c>
      <c r="K66" s="162">
        <f>SUMIFS('Plan prihoda za unos u SAP'!$H$3:$H$501,'Plan prihoda za unos u SAP'!$C$3:$C$501,"=561",'Plan prihoda za unos u SAP'!$K$3:$K$501,"=722")</f>
        <v>0</v>
      </c>
      <c r="L66" s="162">
        <f>SUMIFS('Plan prihoda za unos u SAP'!$H$3:$H$501,'Plan prihoda za unos u SAP'!$C$3:$C$501,"=563",'Plan prihoda za unos u SAP'!$K$3:$K$501,"=722")</f>
        <v>0</v>
      </c>
      <c r="M66" s="162">
        <f>SUMIFS('Plan prihoda za unos u SAP'!$H$3:$H$501,'Plan prihoda za unos u SAP'!$C$3:$C$501,"=61",'Plan prihoda za unos u SAP'!$K$3:$K$501,"=722")</f>
        <v>0</v>
      </c>
      <c r="N66" s="162">
        <f>SUMIFS('Plan prihoda za unos u SAP'!$H$3:$H$501,'Plan prihoda za unos u SAP'!$C$3:$C$501,"=63",'Plan prihoda za unos u SAP'!$K$3:$K$501,"=722")</f>
        <v>0</v>
      </c>
      <c r="O66" s="162">
        <f>SUMIFS('Plan prihoda za unos u SAP'!$H$3:$H$501,'Plan prihoda za unos u SAP'!$C$3:$C$501,"=71",'Plan prihoda za unos u SAP'!$K$3:$K$501,"=722")</f>
        <v>0</v>
      </c>
      <c r="P66" s="162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317</v>
      </c>
      <c r="B67" s="101" t="s">
        <v>318</v>
      </c>
      <c r="C67" s="71">
        <f t="shared" si="16"/>
        <v>0</v>
      </c>
      <c r="D67" s="162">
        <f>SUMIFS('Plan prihoda za unos u SAP'!$H$3:$H$501,'Plan prihoda za unos u SAP'!$C$3:$C$501,"=11",'Plan prihoda za unos u SAP'!$K$3:$K$501,"=723")</f>
        <v>0</v>
      </c>
      <c r="E67" s="162">
        <f>SUMIFS('Plan prihoda za unos u SAP'!$H$3:$H$501,'Plan prihoda za unos u SAP'!$C$3:$C$501,"=12",'Plan prihoda za unos u SAP'!$K$3:$K$501,"=723")</f>
        <v>0</v>
      </c>
      <c r="F67" s="162">
        <f>SUMIFS('Plan prihoda za unos u SAP'!$H$3:$H$501,'Plan prihoda za unos u SAP'!$C$3:$C$501,"=31",'Plan prihoda za unos u SAP'!$K$3:$K$501,"=723")</f>
        <v>0</v>
      </c>
      <c r="G67" s="162">
        <f>SUMIFS('Plan prihoda za unos u SAP'!$H$3:$H$501,'Plan prihoda za unos u SAP'!$C$3:$C$501,"=43",'Plan prihoda za unos u SAP'!$K$3:$K$501,"=723")</f>
        <v>0</v>
      </c>
      <c r="H67" s="162">
        <f>SUMIFS('Plan prihoda za unos u SAP'!$H$3:$H$501,'Plan prihoda za unos u SAP'!$C$3:$C$501,"=51",'Plan prihoda za unos u SAP'!$K$3:$K$501,"=723")</f>
        <v>0</v>
      </c>
      <c r="I67" s="162">
        <f>SUMIFS('Plan prihoda za unos u SAP'!$H$3:$H$501,'Plan prihoda za unos u SAP'!$C$3:$C$501,"=52",'Plan prihoda za unos u SAP'!$K$3:$K$501,"=723")</f>
        <v>0</v>
      </c>
      <c r="J67" s="162">
        <f>SUMIFS('Plan prihoda za unos u SAP'!$H$3:$H$501,'Plan prihoda za unos u SAP'!$C$3:$C$501,"=559",'Plan prihoda za unos u SAP'!$K$3:$K$501,"=723")</f>
        <v>0</v>
      </c>
      <c r="K67" s="162">
        <f>SUMIFS('Plan prihoda za unos u SAP'!$H$3:$H$501,'Plan prihoda za unos u SAP'!$C$3:$C$501,"=561",'Plan prihoda za unos u SAP'!$K$3:$K$501,"=723")</f>
        <v>0</v>
      </c>
      <c r="L67" s="162">
        <f>SUMIFS('Plan prihoda za unos u SAP'!$H$3:$H$501,'Plan prihoda za unos u SAP'!$C$3:$C$501,"=563",'Plan prihoda za unos u SAP'!$K$3:$K$501,"=723")</f>
        <v>0</v>
      </c>
      <c r="M67" s="162">
        <f>SUMIFS('Plan prihoda za unos u SAP'!$H$3:$H$501,'Plan prihoda za unos u SAP'!$C$3:$C$501,"=61",'Plan prihoda za unos u SAP'!$K$3:$K$501,"=723")</f>
        <v>0</v>
      </c>
      <c r="N67" s="162">
        <f>SUMIFS('Plan prihoda za unos u SAP'!$H$3:$H$501,'Plan prihoda za unos u SAP'!$C$3:$C$501,"=63",'Plan prihoda za unos u SAP'!$K$3:$K$501,"=723")</f>
        <v>0</v>
      </c>
      <c r="O67" s="162">
        <f>SUMIFS('Plan prihoda za unos u SAP'!$H$3:$H$501,'Plan prihoda za unos u SAP'!$C$3:$C$501,"=71",'Plan prihoda za unos u SAP'!$K$3:$K$501,"=723")</f>
        <v>0</v>
      </c>
      <c r="P67" s="162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328</v>
      </c>
      <c r="B68" s="101" t="s">
        <v>329</v>
      </c>
      <c r="C68" s="71">
        <f t="shared" si="16"/>
        <v>0</v>
      </c>
      <c r="D68" s="162">
        <f>SUMIFS('Plan prihoda za unos u SAP'!$H$3:$H$501,'Plan prihoda za unos u SAP'!$C$3:$C$501,"=11",'Plan prihoda za unos u SAP'!$K$3:$K$501,"=725")</f>
        <v>0</v>
      </c>
      <c r="E68" s="162">
        <f>SUMIFS('Plan prihoda za unos u SAP'!$H$3:$H$501,'Plan prihoda za unos u SAP'!$C$3:$C$501,"=12",'Plan prihoda za unos u SAP'!$K$3:$K$501,"=725")</f>
        <v>0</v>
      </c>
      <c r="F68" s="162">
        <f>SUMIFS('Plan prihoda za unos u SAP'!$H$3:$H$501,'Plan prihoda za unos u SAP'!$C$3:$C$501,"=31",'Plan prihoda za unos u SAP'!$K$3:$K$501,"=725")</f>
        <v>0</v>
      </c>
      <c r="G68" s="162">
        <f>SUMIFS('Plan prihoda za unos u SAP'!$H$3:$H$501,'Plan prihoda za unos u SAP'!$C$3:$C$501,"=43",'Plan prihoda za unos u SAP'!$K$3:$K$501,"=725")</f>
        <v>0</v>
      </c>
      <c r="H68" s="162">
        <f>SUMIFS('Plan prihoda za unos u SAP'!$H$3:$H$501,'Plan prihoda za unos u SAP'!$C$3:$C$501,"=51",'Plan prihoda za unos u SAP'!$K$3:$K$501,"=725")</f>
        <v>0</v>
      </c>
      <c r="I68" s="162">
        <f>SUMIFS('Plan prihoda za unos u SAP'!$H$3:$H$501,'Plan prihoda za unos u SAP'!$C$3:$C$501,"=52",'Plan prihoda za unos u SAP'!$K$3:$K$501,"=725")</f>
        <v>0</v>
      </c>
      <c r="J68" s="162">
        <f>SUMIFS('Plan prihoda za unos u SAP'!$H$3:$H$501,'Plan prihoda za unos u SAP'!$C$3:$C$501,"=559",'Plan prihoda za unos u SAP'!$K$3:$K$501,"=725")</f>
        <v>0</v>
      </c>
      <c r="K68" s="162">
        <f>SUMIFS('Plan prihoda za unos u SAP'!$H$3:$H$501,'Plan prihoda za unos u SAP'!$C$3:$C$501,"=561",'Plan prihoda za unos u SAP'!$K$3:$K$501,"=725")</f>
        <v>0</v>
      </c>
      <c r="L68" s="162">
        <f>SUMIFS('Plan prihoda za unos u SAP'!$H$3:$H$501,'Plan prihoda za unos u SAP'!$C$3:$C$501,"=563",'Plan prihoda za unos u SAP'!$K$3:$K$501,"=725")</f>
        <v>0</v>
      </c>
      <c r="M68" s="162">
        <f>SUMIFS('Plan prihoda za unos u SAP'!$H$3:$H$501,'Plan prihoda za unos u SAP'!$C$3:$C$501,"=61",'Plan prihoda za unos u SAP'!$K$3:$K$501,"=725")</f>
        <v>0</v>
      </c>
      <c r="N68" s="162">
        <f>SUMIFS('Plan prihoda za unos u SAP'!$H$3:$H$501,'Plan prihoda za unos u SAP'!$C$3:$C$501,"=63",'Plan prihoda za unos u SAP'!$K$3:$K$501,"=725")</f>
        <v>0</v>
      </c>
      <c r="O68" s="162">
        <f>SUMIFS('Plan prihoda za unos u SAP'!$H$3:$H$501,'Plan prihoda za unos u SAP'!$C$3:$C$501,"=71",'Plan prihoda za unos u SAP'!$K$3:$K$501,"=725")</f>
        <v>0</v>
      </c>
      <c r="P68" s="162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319</v>
      </c>
      <c r="B69" s="100" t="s">
        <v>312</v>
      </c>
      <c r="C69" s="71">
        <f t="shared" si="16"/>
        <v>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0</v>
      </c>
      <c r="P69" s="4">
        <f t="shared" si="18"/>
        <v>0</v>
      </c>
    </row>
    <row r="70" spans="1:22" s="91" customFormat="1" ht="25.5">
      <c r="A70" s="102">
        <v>812</v>
      </c>
      <c r="B70" s="103" t="s">
        <v>320</v>
      </c>
      <c r="C70" s="71">
        <f t="shared" si="16"/>
        <v>0</v>
      </c>
      <c r="D70" s="162">
        <f>SUMIFS('Plan prihoda za unos u SAP'!$H$3:$H$501,'Plan prihoda za unos u SAP'!$C$3:$C$501,"=11",'Plan prihoda za unos u SAP'!$K$3:$K$501,"=812")</f>
        <v>0</v>
      </c>
      <c r="E70" s="162">
        <f>SUMIFS('Plan prihoda za unos u SAP'!$H$3:$H$501,'Plan prihoda za unos u SAP'!$C$3:$C$501,"=12",'Plan prihoda za unos u SAP'!$K$3:$K$501,"=812")</f>
        <v>0</v>
      </c>
      <c r="F70" s="162">
        <f>SUMIFS('Plan prihoda za unos u SAP'!$H$3:$H$501,'Plan prihoda za unos u SAP'!$C$3:$C$501,"=31",'Plan prihoda za unos u SAP'!$K$3:$K$501,"=812")</f>
        <v>0</v>
      </c>
      <c r="G70" s="162">
        <f>SUMIFS('Plan prihoda za unos u SAP'!$H$3:$H$501,'Plan prihoda za unos u SAP'!$C$3:$C$501,"=43",'Plan prihoda za unos u SAP'!$K$3:$K$501,"=812")</f>
        <v>0</v>
      </c>
      <c r="H70" s="162">
        <f>SUMIFS('Plan prihoda za unos u SAP'!$H$3:$H$501,'Plan prihoda za unos u SAP'!$C$3:$C$501,"=51",'Plan prihoda za unos u SAP'!$K$3:$K$501,"=812")</f>
        <v>0</v>
      </c>
      <c r="I70" s="162">
        <f>SUMIFS('Plan prihoda za unos u SAP'!$H$3:$H$501,'Plan prihoda za unos u SAP'!$C$3:$C$501,"=52",'Plan prihoda za unos u SAP'!$K$3:$K$501,"=812")</f>
        <v>0</v>
      </c>
      <c r="J70" s="162">
        <f>SUMIFS('Plan prihoda za unos u SAP'!$H$3:$H$501,'Plan prihoda za unos u SAP'!$C$3:$C$501,"=559",'Plan prihoda za unos u SAP'!$K$3:$K$501,"=812")</f>
        <v>0</v>
      </c>
      <c r="K70" s="162">
        <f>SUMIFS('Plan prihoda za unos u SAP'!$H$3:$H$501,'Plan prihoda za unos u SAP'!$C$3:$C$501,"=561",'Plan prihoda za unos u SAP'!$K$3:$K$501,"=812")</f>
        <v>0</v>
      </c>
      <c r="L70" s="162">
        <f>SUMIFS('Plan prihoda za unos u SAP'!$H$3:$H$501,'Plan prihoda za unos u SAP'!$C$3:$C$501,"=563",'Plan prihoda za unos u SAP'!$K$3:$K$501,"=812")</f>
        <v>0</v>
      </c>
      <c r="M70" s="162">
        <f>SUMIFS('Plan prihoda za unos u SAP'!$H$3:$H$501,'Plan prihoda za unos u SAP'!$C$3:$C$501,"=61",'Plan prihoda za unos u SAP'!$K$3:$K$501,"=812")</f>
        <v>0</v>
      </c>
      <c r="N70" s="162">
        <f>SUMIFS('Plan prihoda za unos u SAP'!$H$3:$H$501,'Plan prihoda za unos u SAP'!$C$3:$C$501,"=63",'Plan prihoda za unos u SAP'!$K$3:$K$501,"=812")</f>
        <v>0</v>
      </c>
      <c r="O70" s="162">
        <f>SUMIFS('Plan prihoda za unos u SAP'!$H$3:$H$501,'Plan prihoda za unos u SAP'!$C$3:$C$501,"=71",'Plan prihoda za unos u SAP'!$K$3:$K$501,"=812")</f>
        <v>0</v>
      </c>
      <c r="P70" s="162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</row>
    <row r="72" spans="1:22" s="91" customFormat="1">
      <c r="A72" s="99" t="s">
        <v>321</v>
      </c>
      <c r="B72" s="100" t="s">
        <v>312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32" t="s">
        <v>322</v>
      </c>
      <c r="B73" s="232"/>
      <c r="C73" s="72">
        <f>SUM(D73:P73)</f>
        <v>80098535.257892191</v>
      </c>
      <c r="D73" s="72">
        <f t="shared" ref="D73:P73" si="20">+D72+D69+D62</f>
        <v>60367162.257892199</v>
      </c>
      <c r="E73" s="72">
        <f t="shared" si="20"/>
        <v>1193213</v>
      </c>
      <c r="F73" s="72">
        <f t="shared" si="20"/>
        <v>1226536</v>
      </c>
      <c r="G73" s="72">
        <f t="shared" si="20"/>
        <v>7978569</v>
      </c>
      <c r="H73" s="72">
        <f t="shared" si="20"/>
        <v>0</v>
      </c>
      <c r="I73" s="72">
        <f t="shared" si="20"/>
        <v>1764035</v>
      </c>
      <c r="J73" s="72">
        <f t="shared" si="20"/>
        <v>0</v>
      </c>
      <c r="K73" s="72">
        <f t="shared" si="20"/>
        <v>0</v>
      </c>
      <c r="L73" s="72">
        <f t="shared" si="20"/>
        <v>6761538</v>
      </c>
      <c r="M73" s="72">
        <f t="shared" si="20"/>
        <v>807482</v>
      </c>
      <c r="N73" s="72">
        <f t="shared" si="20"/>
        <v>0</v>
      </c>
      <c r="O73" s="72">
        <f t="shared" si="20"/>
        <v>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27" t="s">
        <v>275</v>
      </c>
      <c r="B75" s="228"/>
      <c r="C75" s="229" t="s">
        <v>404</v>
      </c>
      <c r="D75" s="230"/>
      <c r="E75" s="230"/>
      <c r="F75" s="230"/>
      <c r="G75" s="230"/>
      <c r="H75" s="230"/>
      <c r="I75" s="230"/>
      <c r="J75" s="230"/>
      <c r="K75" s="230"/>
      <c r="L75" s="230"/>
      <c r="M75" s="230"/>
      <c r="N75" s="230"/>
      <c r="O75" s="230"/>
      <c r="P75" s="231"/>
    </row>
    <row r="76" spans="1:22" s="91" customFormat="1" ht="89.25">
      <c r="A76" s="93" t="s">
        <v>276</v>
      </c>
      <c r="B76" s="93" t="s">
        <v>277</v>
      </c>
      <c r="C76" s="155" t="s">
        <v>278</v>
      </c>
      <c r="D76" s="137" t="s">
        <v>359</v>
      </c>
      <c r="E76" s="137" t="s">
        <v>331</v>
      </c>
      <c r="F76" s="94" t="s">
        <v>2</v>
      </c>
      <c r="G76" s="94" t="s">
        <v>3</v>
      </c>
      <c r="H76" s="94" t="s">
        <v>279</v>
      </c>
      <c r="I76" s="94" t="s">
        <v>280</v>
      </c>
      <c r="J76" s="94" t="s">
        <v>281</v>
      </c>
      <c r="K76" s="136" t="s">
        <v>282</v>
      </c>
      <c r="L76" s="136" t="s">
        <v>283</v>
      </c>
      <c r="M76" s="94" t="s">
        <v>284</v>
      </c>
      <c r="N76" s="94" t="s">
        <v>285</v>
      </c>
      <c r="O76" s="94" t="s">
        <v>323</v>
      </c>
      <c r="P76" s="94" t="s">
        <v>1222</v>
      </c>
    </row>
    <row r="77" spans="1:22" s="91" customFormat="1">
      <c r="A77" s="96"/>
      <c r="B77" s="97" t="s">
        <v>0</v>
      </c>
      <c r="C77" s="71">
        <f t="shared" ref="C77:C82" si="21">SUM(D77:P77)</f>
        <v>6915284</v>
      </c>
      <c r="D77" s="161">
        <f t="shared" ref="D77:P77" si="22">-D43</f>
        <v>0</v>
      </c>
      <c r="E77" s="161">
        <f t="shared" si="22"/>
        <v>0</v>
      </c>
      <c r="F77" s="161">
        <f t="shared" si="22"/>
        <v>161625</v>
      </c>
      <c r="G77" s="161">
        <f t="shared" si="22"/>
        <v>6753659</v>
      </c>
      <c r="H77" s="161">
        <f t="shared" si="22"/>
        <v>0</v>
      </c>
      <c r="I77" s="161">
        <f t="shared" si="22"/>
        <v>0</v>
      </c>
      <c r="J77" s="161">
        <f t="shared" si="22"/>
        <v>0</v>
      </c>
      <c r="K77" s="161">
        <f t="shared" si="22"/>
        <v>0</v>
      </c>
      <c r="L77" s="161">
        <f t="shared" si="22"/>
        <v>0</v>
      </c>
      <c r="M77" s="161">
        <f t="shared" si="22"/>
        <v>0</v>
      </c>
      <c r="N77" s="161">
        <f t="shared" si="22"/>
        <v>0</v>
      </c>
      <c r="O77" s="161">
        <f t="shared" si="22"/>
        <v>0</v>
      </c>
      <c r="P77" s="161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355</v>
      </c>
      <c r="C78" s="71">
        <f t="shared" si="21"/>
        <v>80000976.601805151</v>
      </c>
      <c r="D78" s="15">
        <f t="shared" ref="D78:P78" si="23">+D98+D105</f>
        <v>60486646.601805158</v>
      </c>
      <c r="E78" s="15">
        <f t="shared" si="23"/>
        <v>1267520</v>
      </c>
      <c r="F78" s="15">
        <f t="shared" si="23"/>
        <v>1240590</v>
      </c>
      <c r="G78" s="15">
        <f t="shared" si="23"/>
        <v>7997661</v>
      </c>
      <c r="H78" s="15">
        <f t="shared" si="23"/>
        <v>0</v>
      </c>
      <c r="I78" s="15">
        <f t="shared" si="23"/>
        <v>1012000</v>
      </c>
      <c r="J78" s="15">
        <f t="shared" si="23"/>
        <v>0</v>
      </c>
      <c r="K78" s="15">
        <f t="shared" si="23"/>
        <v>0</v>
      </c>
      <c r="L78" s="15">
        <f t="shared" si="23"/>
        <v>7182618</v>
      </c>
      <c r="M78" s="15">
        <f t="shared" si="23"/>
        <v>813941</v>
      </c>
      <c r="N78" s="15">
        <f t="shared" si="23"/>
        <v>0</v>
      </c>
      <c r="O78" s="15">
        <f t="shared" si="23"/>
        <v>0</v>
      </c>
      <c r="P78" s="15">
        <f t="shared" si="23"/>
        <v>0</v>
      </c>
    </row>
    <row r="79" spans="1:22" s="91" customFormat="1">
      <c r="A79" s="96"/>
      <c r="B79" s="97" t="s">
        <v>358</v>
      </c>
      <c r="C79" s="71">
        <f t="shared" si="21"/>
        <v>-5157098</v>
      </c>
      <c r="D79" s="115"/>
      <c r="E79" s="115"/>
      <c r="F79" s="115">
        <v>-172948</v>
      </c>
      <c r="G79" s="115">
        <v>-4984150</v>
      </c>
      <c r="H79" s="115"/>
      <c r="I79" s="115"/>
      <c r="J79" s="3"/>
      <c r="K79" s="115"/>
      <c r="L79" s="115"/>
      <c r="M79" s="115"/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286</v>
      </c>
      <c r="C80" s="71">
        <f t="shared" si="21"/>
        <v>81759162.601805151</v>
      </c>
      <c r="D80" s="15">
        <f>+D77+D78+D79</f>
        <v>60486646.601805158</v>
      </c>
      <c r="E80" s="15">
        <f t="shared" ref="E80:P80" si="24">+E77+E78+E79</f>
        <v>1267520</v>
      </c>
      <c r="F80" s="15">
        <f t="shared" si="24"/>
        <v>1229267</v>
      </c>
      <c r="G80" s="15">
        <f t="shared" si="24"/>
        <v>9767170</v>
      </c>
      <c r="H80" s="15">
        <f t="shared" si="24"/>
        <v>0</v>
      </c>
      <c r="I80" s="15">
        <f t="shared" si="24"/>
        <v>1012000</v>
      </c>
      <c r="J80" s="15">
        <f t="shared" si="24"/>
        <v>0</v>
      </c>
      <c r="K80" s="15">
        <f t="shared" si="24"/>
        <v>0</v>
      </c>
      <c r="L80" s="15">
        <f t="shared" si="24"/>
        <v>7182618</v>
      </c>
      <c r="M80" s="15">
        <f t="shared" si="24"/>
        <v>813941</v>
      </c>
      <c r="N80" s="15">
        <f t="shared" si="24"/>
        <v>0</v>
      </c>
      <c r="O80" s="15">
        <f t="shared" si="24"/>
        <v>0</v>
      </c>
      <c r="P80" s="15">
        <f t="shared" si="24"/>
        <v>0</v>
      </c>
    </row>
    <row r="81" spans="1:22" s="91" customFormat="1">
      <c r="A81" s="113"/>
      <c r="B81" s="114" t="s">
        <v>233</v>
      </c>
      <c r="C81" s="71">
        <f t="shared" si="21"/>
        <v>81759162.601805151</v>
      </c>
      <c r="D81" s="138">
        <f>+'PLAN RASHODA I IZDATAKA'!D91</f>
        <v>60486646.601805158</v>
      </c>
      <c r="E81" s="138">
        <f>+'PLAN RASHODA I IZDATAKA'!E91</f>
        <v>1267520</v>
      </c>
      <c r="F81" s="138">
        <f>+'PLAN RASHODA I IZDATAKA'!F91</f>
        <v>1229267</v>
      </c>
      <c r="G81" s="138">
        <f>+'PLAN RASHODA I IZDATAKA'!G91</f>
        <v>9767170</v>
      </c>
      <c r="H81" s="138">
        <f>+'PLAN RASHODA I IZDATAKA'!H91</f>
        <v>0</v>
      </c>
      <c r="I81" s="138">
        <f>+'PLAN RASHODA I IZDATAKA'!I91</f>
        <v>1012000</v>
      </c>
      <c r="J81" s="138">
        <f>+'PLAN RASHODA I IZDATAKA'!J91</f>
        <v>0</v>
      </c>
      <c r="K81" s="138">
        <f>+'PLAN RASHODA I IZDATAKA'!K91</f>
        <v>0</v>
      </c>
      <c r="L81" s="138">
        <f>+'PLAN RASHODA I IZDATAKA'!L91</f>
        <v>7182618</v>
      </c>
      <c r="M81" s="138">
        <f>+'PLAN RASHODA I IZDATAKA'!M91</f>
        <v>813941</v>
      </c>
      <c r="N81" s="138">
        <f>+'PLAN RASHODA I IZDATAKA'!N91</f>
        <v>0</v>
      </c>
      <c r="O81" s="138">
        <f>+'PLAN RASHODA I IZDATAKA'!O91</f>
        <v>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357</v>
      </c>
      <c r="C82" s="70">
        <f t="shared" si="21"/>
        <v>0</v>
      </c>
      <c r="D82" s="120">
        <f>+D80-D81</f>
        <v>0</v>
      </c>
      <c r="E82" s="120">
        <f t="shared" ref="E82:P82" si="25">+E80-E81</f>
        <v>0</v>
      </c>
      <c r="F82" s="120">
        <f t="shared" si="25"/>
        <v>0</v>
      </c>
      <c r="G82" s="120">
        <f t="shared" si="25"/>
        <v>0</v>
      </c>
      <c r="H82" s="120">
        <f t="shared" si="25"/>
        <v>0</v>
      </c>
      <c r="I82" s="120">
        <f t="shared" si="25"/>
        <v>0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287</v>
      </c>
      <c r="B83" s="97" t="s">
        <v>288</v>
      </c>
      <c r="C83" s="71">
        <f t="shared" ref="C83" si="26">SUM(D83:P83)</f>
        <v>0</v>
      </c>
      <c r="D83" s="162">
        <f>SUMIFS('Plan prihoda za unos u SAP'!$I$3:$I$501,'Plan prihoda za unos u SAP'!$C$3:$C$501,"=11",'Plan prihoda za unos u SAP'!$K$3:$K$501,"=631")</f>
        <v>0</v>
      </c>
      <c r="E83" s="162">
        <f>SUMIFS('Plan prihoda za unos u SAP'!$I$3:$I$501,'Plan prihoda za unos u SAP'!$C$3:$C$501,"=12",'Plan prihoda za unos u SAP'!$K$3:$K$501,"=631")</f>
        <v>0</v>
      </c>
      <c r="F83" s="162">
        <f>SUMIFS('Plan prihoda za unos u SAP'!$I$3:$I$501,'Plan prihoda za unos u SAP'!$C$3:$C$501,"=31",'Plan prihoda za unos u SAP'!$K$3:$K$501,"=631")</f>
        <v>0</v>
      </c>
      <c r="G83" s="162">
        <f>SUMIFS('Plan prihoda za unos u SAP'!$I$3:$I$501,'Plan prihoda za unos u SAP'!$C$3:$C$501,"=43",'Plan prihoda za unos u SAP'!$K$3:$K$501,"=631")</f>
        <v>0</v>
      </c>
      <c r="H83" s="162">
        <f>SUMIFS('Plan prihoda za unos u SAP'!$I$3:$I$501,'Plan prihoda za unos u SAP'!$C$3:$C$501,"=51",'Plan prihoda za unos u SAP'!$K$3:$K$501,"=631")</f>
        <v>0</v>
      </c>
      <c r="I83" s="162">
        <f>SUMIFS('Plan prihoda za unos u SAP'!$I$3:$I$501,'Plan prihoda za unos u SAP'!$C$3:$C$501,"=52",'Plan prihoda za unos u SAP'!$K$3:$K$501,"=631")</f>
        <v>0</v>
      </c>
      <c r="J83" s="162">
        <f>SUMIFS('Plan prihoda za unos u SAP'!$I$3:$I$501,'Plan prihoda za unos u SAP'!$C$3:$C$501,"=559",'Plan prihoda za unos u SAP'!$K$3:$K$501,"=631")</f>
        <v>0</v>
      </c>
      <c r="K83" s="162">
        <f>SUMIFS('Plan prihoda za unos u SAP'!$I$3:$I$501,'Plan prihoda za unos u SAP'!$C$3:$C$501,"=561",'Plan prihoda za unos u SAP'!$K$3:$K$501,"=631")</f>
        <v>0</v>
      </c>
      <c r="L83" s="162">
        <f>SUMIFS('Plan prihoda za unos u SAP'!$I$3:$I$501,'Plan prihoda za unos u SAP'!$C$3:$C$501,"=563",'Plan prihoda za unos u SAP'!$K$3:$K$501,"=631")</f>
        <v>0</v>
      </c>
      <c r="M83" s="162">
        <f>SUMIFS('Plan prihoda za unos u SAP'!$I$3:$I$501,'Plan prihoda za unos u SAP'!$C$3:$C$501,"=61",'Plan prihoda za unos u SAP'!$K$3:$K$501,"=631")</f>
        <v>0</v>
      </c>
      <c r="N83" s="162">
        <f>SUMIFS('Plan prihoda za unos u SAP'!$I$3:$I$501,'Plan prihoda za unos u SAP'!$C$3:$C$501,"=63",'Plan prihoda za unos u SAP'!$K$3:$K$501,"=631")</f>
        <v>0</v>
      </c>
      <c r="O83" s="162">
        <f>SUMIFS('Plan prihoda za unos u SAP'!$I$3:$I$501,'Plan prihoda za unos u SAP'!$C$3:$C$501,"=71",'Plan prihoda za unos u SAP'!$K$3:$K$501,"=631")</f>
        <v>0</v>
      </c>
      <c r="P83" s="162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289</v>
      </c>
      <c r="B84" s="97" t="s">
        <v>290</v>
      </c>
      <c r="C84" s="71">
        <f t="shared" ref="C84:C106" si="27">SUM(D84:P84)</f>
        <v>7182618</v>
      </c>
      <c r="D84" s="162">
        <f>SUMIFS('Plan prihoda za unos u SAP'!$I$3:$I$501,'Plan prihoda za unos u SAP'!$C$3:$C$501,"=11",'Plan prihoda za unos u SAP'!$K$3:$K$501,"=632")</f>
        <v>0</v>
      </c>
      <c r="E84" s="162">
        <f>SUMIFS('Plan prihoda za unos u SAP'!$I$3:$I$501,'Plan prihoda za unos u SAP'!$C$3:$C$501,"=12",'Plan prihoda za unos u SAP'!$K$3:$K$501,"=632")</f>
        <v>0</v>
      </c>
      <c r="F84" s="162">
        <f>SUMIFS('Plan prihoda za unos u SAP'!$I$3:$I$501,'Plan prihoda za unos u SAP'!$C$3:$C$501,"=31",'Plan prihoda za unos u SAP'!$K$3:$K$501,"=632")</f>
        <v>0</v>
      </c>
      <c r="G84" s="162">
        <f>SUMIFS('Plan prihoda za unos u SAP'!$I$3:$I$501,'Plan prihoda za unos u SAP'!$C$3:$C$501,"=43",'Plan prihoda za unos u SAP'!$K$3:$K$501,"=632")</f>
        <v>0</v>
      </c>
      <c r="H84" s="162">
        <f>SUMIFS('Plan prihoda za unos u SAP'!$I$3:$I$501,'Plan prihoda za unos u SAP'!$C$3:$C$501,"=51",'Plan prihoda za unos u SAP'!$K$3:$K$501,"=632")</f>
        <v>0</v>
      </c>
      <c r="I84" s="162">
        <f>SUMIFS('Plan prihoda za unos u SAP'!$I$3:$I$501,'Plan prihoda za unos u SAP'!$C$3:$C$501,"=52",'Plan prihoda za unos u SAP'!$K$3:$K$501,"=632")</f>
        <v>0</v>
      </c>
      <c r="J84" s="162">
        <f>SUMIFS('Plan prihoda za unos u SAP'!$I$3:$I$501,'Plan prihoda za unos u SAP'!$C$3:$C$501,"=559",'Plan prihoda za unos u SAP'!$K$3:$K$501,"=632")</f>
        <v>0</v>
      </c>
      <c r="K84" s="162">
        <f>SUMIFS('Plan prihoda za unos u SAP'!$I$3:$I$501,'Plan prihoda za unos u SAP'!$C$3:$C$501,"=561",'Plan prihoda za unos u SAP'!$K$3:$K$501,"=632")</f>
        <v>0</v>
      </c>
      <c r="L84" s="162">
        <f>SUMIFS('Plan prihoda za unos u SAP'!$I$3:$I$501,'Plan prihoda za unos u SAP'!$C$3:$C$501,"=563",'Plan prihoda za unos u SAP'!$K$3:$K$501,"=632")</f>
        <v>7182618</v>
      </c>
      <c r="M84" s="162">
        <f>SUMIFS('Plan prihoda za unos u SAP'!$I$3:$I$501,'Plan prihoda za unos u SAP'!$C$3:$C$501,"=61",'Plan prihoda za unos u SAP'!$K$3:$K$501,"=632")</f>
        <v>0</v>
      </c>
      <c r="N84" s="162">
        <f>SUMIFS('Plan prihoda za unos u SAP'!$I$3:$I$501,'Plan prihoda za unos u SAP'!$C$3:$C$501,"=63",'Plan prihoda za unos u SAP'!$K$3:$K$501,"=632")</f>
        <v>0</v>
      </c>
      <c r="O84" s="162">
        <f>SUMIFS('Plan prihoda za unos u SAP'!$I$3:$I$501,'Plan prihoda za unos u SAP'!$C$3:$C$501,"=71",'Plan prihoda za unos u SAP'!$K$3:$K$501,"=632")</f>
        <v>0</v>
      </c>
      <c r="P84" s="162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291</v>
      </c>
      <c r="B85" s="97" t="s">
        <v>292</v>
      </c>
      <c r="C85" s="71">
        <f t="shared" si="27"/>
        <v>0</v>
      </c>
      <c r="D85" s="162">
        <f>SUMIFS('Plan prihoda za unos u SAP'!$I$3:$I$501,'Plan prihoda za unos u SAP'!$C$3:$C$501,"=11",'Plan prihoda za unos u SAP'!$K$3:$K$501,"=634")</f>
        <v>0</v>
      </c>
      <c r="E85" s="162">
        <f>SUMIFS('Plan prihoda za unos u SAP'!$I$3:$I$501,'Plan prihoda za unos u SAP'!$C$3:$C$501,"=12",'Plan prihoda za unos u SAP'!$K$3:$K$501,"=634")</f>
        <v>0</v>
      </c>
      <c r="F85" s="162">
        <f>SUMIFS('Plan prihoda za unos u SAP'!$I$3:$I$501,'Plan prihoda za unos u SAP'!$C$3:$C$501,"=31",'Plan prihoda za unos u SAP'!$K$3:$K$501,"=634")</f>
        <v>0</v>
      </c>
      <c r="G85" s="162">
        <f>SUMIFS('Plan prihoda za unos u SAP'!$I$3:$I$501,'Plan prihoda za unos u SAP'!$C$3:$C$501,"=43",'Plan prihoda za unos u SAP'!$K$3:$K$501,"=634")</f>
        <v>0</v>
      </c>
      <c r="H85" s="162">
        <f>SUMIFS('Plan prihoda za unos u SAP'!$I$3:$I$501,'Plan prihoda za unos u SAP'!$C$3:$C$501,"=51",'Plan prihoda za unos u SAP'!$K$3:$K$501,"=634")</f>
        <v>0</v>
      </c>
      <c r="I85" s="162">
        <f>SUMIFS('Plan prihoda za unos u SAP'!$I$3:$I$501,'Plan prihoda za unos u SAP'!$C$3:$C$501,"=52",'Plan prihoda za unos u SAP'!$K$3:$K$501,"=634")</f>
        <v>0</v>
      </c>
      <c r="J85" s="162">
        <f>SUMIFS('Plan prihoda za unos u SAP'!$I$3:$I$501,'Plan prihoda za unos u SAP'!$C$3:$C$501,"=559",'Plan prihoda za unos u SAP'!$K$3:$K$501,"=634")</f>
        <v>0</v>
      </c>
      <c r="K85" s="162">
        <f>SUMIFS('Plan prihoda za unos u SAP'!$I$3:$I$501,'Plan prihoda za unos u SAP'!$C$3:$C$501,"=561",'Plan prihoda za unos u SAP'!$K$3:$K$501,"=634")</f>
        <v>0</v>
      </c>
      <c r="L85" s="162">
        <f>SUMIFS('Plan prihoda za unos u SAP'!$I$3:$I$501,'Plan prihoda za unos u SAP'!$C$3:$C$501,"=563",'Plan prihoda za unos u SAP'!$K$3:$K$501,"=634")</f>
        <v>0</v>
      </c>
      <c r="M85" s="162">
        <f>SUMIFS('Plan prihoda za unos u SAP'!$I$3:$I$501,'Plan prihoda za unos u SAP'!$C$3:$C$501,"=61",'Plan prihoda za unos u SAP'!$K$3:$K$501,"=634")</f>
        <v>0</v>
      </c>
      <c r="N85" s="162">
        <f>SUMIFS('Plan prihoda za unos u SAP'!$I$3:$I$501,'Plan prihoda za unos u SAP'!$C$3:$C$501,"=63",'Plan prihoda za unos u SAP'!$K$3:$K$501,"=634")</f>
        <v>0</v>
      </c>
      <c r="O85" s="162">
        <f>SUMIFS('Plan prihoda za unos u SAP'!$I$3:$I$501,'Plan prihoda za unos u SAP'!$C$3:$C$501,"=71",'Plan prihoda za unos u SAP'!$K$3:$K$501,"=634")</f>
        <v>0</v>
      </c>
      <c r="P85" s="162">
        <f>SUMIFS('Plan prihoda za unos u SAP'!$I$3:$I$501,'Plan prihoda za unos u SAP'!$C$3:$C$501,"=81",'Plan prihoda za unos u SAP'!$K$3:$K$501,"=634")</f>
        <v>0</v>
      </c>
    </row>
    <row r="86" spans="1:22" s="91" customFormat="1">
      <c r="A86" s="199" t="s">
        <v>382</v>
      </c>
      <c r="B86" s="97" t="s">
        <v>383</v>
      </c>
      <c r="C86" s="71">
        <f t="shared" si="27"/>
        <v>12000</v>
      </c>
      <c r="D86" s="162">
        <f>SUMIFS('Plan prihoda za unos u SAP'!$I$3:$I$501,'Plan prihoda za unos u SAP'!$C$3:$C$501,"=11",'Plan prihoda za unos u SAP'!$K$3:$K$501,"=636")</f>
        <v>0</v>
      </c>
      <c r="E86" s="162">
        <f>SUMIFS('Plan prihoda za unos u SAP'!$I$3:$I$501,'Plan prihoda za unos u SAP'!$C$3:$C$501,"=12",'Plan prihoda za unos u SAP'!$K$3:$K$501,"=636")</f>
        <v>0</v>
      </c>
      <c r="F86" s="162">
        <f>SUMIFS('Plan prihoda za unos u SAP'!$I$3:$I$501,'Plan prihoda za unos u SAP'!$C$3:$C$501,"=31",'Plan prihoda za unos u SAP'!$K$3:$K$501,"=636")</f>
        <v>0</v>
      </c>
      <c r="G86" s="162">
        <f>SUMIFS('Plan prihoda za unos u SAP'!$I$3:$I$501,'Plan prihoda za unos u SAP'!$C$3:$C$501,"=43",'Plan prihoda za unos u SAP'!$K$3:$K$501,"=636")</f>
        <v>0</v>
      </c>
      <c r="H86" s="162">
        <f>SUMIFS('Plan prihoda za unos u SAP'!$I$3:$I$501,'Plan prihoda za unos u SAP'!$C$3:$C$501,"=51",'Plan prihoda za unos u SAP'!$K$3:$K$501,"=636")</f>
        <v>0</v>
      </c>
      <c r="I86" s="162">
        <f>SUMIFS('Plan prihoda za unos u SAP'!$I$3:$I$501,'Plan prihoda za unos u SAP'!$C$3:$C$501,"=52",'Plan prihoda za unos u SAP'!$K$3:$K$501,"=636")</f>
        <v>12000</v>
      </c>
      <c r="J86" s="162">
        <f>SUMIFS('Plan prihoda za unos u SAP'!$I$3:$I$501,'Plan prihoda za unos u SAP'!$C$3:$C$501,"=559",'Plan prihoda za unos u SAP'!$K$3:$K$501,"=636")</f>
        <v>0</v>
      </c>
      <c r="K86" s="162">
        <f>SUMIFS('Plan prihoda za unos u SAP'!$I$3:$I$501,'Plan prihoda za unos u SAP'!$C$3:$C$501,"=561",'Plan prihoda za unos u SAP'!$K$3:$K$501,"=636")</f>
        <v>0</v>
      </c>
      <c r="L86" s="162">
        <f>SUMIFS('Plan prihoda za unos u SAP'!$I$3:$I$501,'Plan prihoda za unos u SAP'!$C$3:$C$501,"=563",'Plan prihoda za unos u SAP'!$K$3:$K$501,"=636")</f>
        <v>0</v>
      </c>
      <c r="M86" s="162">
        <f>SUMIFS('Plan prihoda za unos u SAP'!$I$3:$I$501,'Plan prihoda za unos u SAP'!$C$3:$C$501,"=61",'Plan prihoda za unos u SAP'!$K$3:$K$501,"=636")</f>
        <v>0</v>
      </c>
      <c r="N86" s="162">
        <f>SUMIFS('Plan prihoda za unos u SAP'!$I$3:$I$501,'Plan prihoda za unos u SAP'!$C$3:$C$501,"=63",'Plan prihoda za unos u SAP'!$K$3:$K$501,"=636")</f>
        <v>0</v>
      </c>
      <c r="O86" s="162">
        <f>SUMIFS('Plan prihoda za unos u SAP'!$I$3:$I$501,'Plan prihoda za unos u SAP'!$C$3:$C$501,"=71",'Plan prihoda za unos u SAP'!$K$3:$K$501,"=636")</f>
        <v>0</v>
      </c>
      <c r="P86" s="162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293</v>
      </c>
      <c r="B87" s="97" t="s">
        <v>294</v>
      </c>
      <c r="C87" s="71">
        <f t="shared" si="27"/>
        <v>0</v>
      </c>
      <c r="D87" s="162">
        <f>SUMIFS('Plan prihoda za unos u SAP'!$I$3:$I$501,'Plan prihoda za unos u SAP'!$C$3:$C$501,"=11",'Plan prihoda za unos u SAP'!$K$3:$K$501,"=638")</f>
        <v>0</v>
      </c>
      <c r="E87" s="162">
        <f>SUMIFS('Plan prihoda za unos u SAP'!$I$3:$I$501,'Plan prihoda za unos u SAP'!$C$3:$C$501,"=12",'Plan prihoda za unos u SAP'!$K$3:$K$501,"=638")</f>
        <v>0</v>
      </c>
      <c r="F87" s="162">
        <f>SUMIFS('Plan prihoda za unos u SAP'!$I$3:$I$501,'Plan prihoda za unos u SAP'!$C$3:$C$501,"=31",'Plan prihoda za unos u SAP'!$K$3:$K$501,"=638")</f>
        <v>0</v>
      </c>
      <c r="G87" s="162">
        <f>SUMIFS('Plan prihoda za unos u SAP'!$I$3:$I$501,'Plan prihoda za unos u SAP'!$C$3:$C$501,"=43",'Plan prihoda za unos u SAP'!$K$3:$K$501,"=638")</f>
        <v>0</v>
      </c>
      <c r="H87" s="162">
        <f>SUMIFS('Plan prihoda za unos u SAP'!$I$3:$I$501,'Plan prihoda za unos u SAP'!$C$3:$C$501,"=51",'Plan prihoda za unos u SAP'!$K$3:$K$501,"=638")</f>
        <v>0</v>
      </c>
      <c r="I87" s="162">
        <f>SUMIFS('Plan prihoda za unos u SAP'!$I$3:$I$501,'Plan prihoda za unos u SAP'!$C$3:$C$501,"=52",'Plan prihoda za unos u SAP'!$K$3:$K$501,"=638")</f>
        <v>0</v>
      </c>
      <c r="J87" s="162">
        <f>SUMIFS('Plan prihoda za unos u SAP'!$I$3:$I$501,'Plan prihoda za unos u SAP'!$C$3:$C$501,"=559",'Plan prihoda za unos u SAP'!$K$3:$K$501,"=638")</f>
        <v>0</v>
      </c>
      <c r="K87" s="162">
        <f>SUMIFS('Plan prihoda za unos u SAP'!$I$3:$I$501,'Plan prihoda za unos u SAP'!$C$3:$C$501,"=561",'Plan prihoda za unos u SAP'!$K$3:$K$501,"=638")</f>
        <v>0</v>
      </c>
      <c r="L87" s="162">
        <f>SUMIFS('Plan prihoda za unos u SAP'!$I$3:$I$501,'Plan prihoda za unos u SAP'!$C$3:$C$501,"=563",'Plan prihoda za unos u SAP'!$K$3:$K$501,"=638")</f>
        <v>0</v>
      </c>
      <c r="M87" s="162">
        <f>SUMIFS('Plan prihoda za unos u SAP'!$I$3:$I$501,'Plan prihoda za unos u SAP'!$C$3:$C$501,"=61",'Plan prihoda za unos u SAP'!$K$3:$K$501,"=638")</f>
        <v>0</v>
      </c>
      <c r="N87" s="162">
        <f>SUMIFS('Plan prihoda za unos u SAP'!$I$3:$I$501,'Plan prihoda za unos u SAP'!$C$3:$C$501,"=63",'Plan prihoda za unos u SAP'!$K$3:$K$501,"=638")</f>
        <v>0</v>
      </c>
      <c r="O87" s="162">
        <f>SUMIFS('Plan prihoda za unos u SAP'!$I$3:$I$501,'Plan prihoda za unos u SAP'!$C$3:$C$501,"=71",'Plan prihoda za unos u SAP'!$K$3:$K$501,"=638")</f>
        <v>0</v>
      </c>
      <c r="P87" s="162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295</v>
      </c>
      <c r="B88" s="97" t="s">
        <v>36</v>
      </c>
      <c r="C88" s="71">
        <f t="shared" si="27"/>
        <v>1000000</v>
      </c>
      <c r="D88" s="162">
        <f>SUMIFS('Plan prihoda za unos u SAP'!$I$3:$I$501,'Plan prihoda za unos u SAP'!$C$3:$C$501,"=11",'Plan prihoda za unos u SAP'!$K$3:$K$501,"=639")</f>
        <v>0</v>
      </c>
      <c r="E88" s="162">
        <f>SUMIFS('Plan prihoda za unos u SAP'!$I$3:$I$501,'Plan prihoda za unos u SAP'!$C$3:$C$501,"=12",'Plan prihoda za unos u SAP'!$K$3:$K$501,"=639")</f>
        <v>0</v>
      </c>
      <c r="F88" s="162">
        <f>SUMIFS('Plan prihoda za unos u SAP'!$I$3:$I$501,'Plan prihoda za unos u SAP'!$C$3:$C$501,"=31",'Plan prihoda za unos u SAP'!$K$3:$K$501,"=639")</f>
        <v>0</v>
      </c>
      <c r="G88" s="162">
        <f>SUMIFS('Plan prihoda za unos u SAP'!$I$3:$I$501,'Plan prihoda za unos u SAP'!$C$3:$C$501,"=43",'Plan prihoda za unos u SAP'!$K$3:$K$501,"=639")</f>
        <v>0</v>
      </c>
      <c r="H88" s="162">
        <f>SUMIFS('Plan prihoda za unos u SAP'!$I$3:$I$501,'Plan prihoda za unos u SAP'!$C$3:$C$501,"=51",'Plan prihoda za unos u SAP'!$K$3:$K$501,"=639")</f>
        <v>0</v>
      </c>
      <c r="I88" s="162">
        <f>SUMIFS('Plan prihoda za unos u SAP'!$I$3:$I$501,'Plan prihoda za unos u SAP'!$C$3:$C$501,"=52",'Plan prihoda za unos u SAP'!$K$3:$K$501,"=639")</f>
        <v>1000000</v>
      </c>
      <c r="J88" s="162">
        <f>SUMIFS('Plan prihoda za unos u SAP'!$I$3:$I$501,'Plan prihoda za unos u SAP'!$C$3:$C$501,"=559",'Plan prihoda za unos u SAP'!$K$3:$K$501,"=639")</f>
        <v>0</v>
      </c>
      <c r="K88" s="162">
        <f>SUMIFS('Plan prihoda za unos u SAP'!$I$3:$I$501,'Plan prihoda za unos u SAP'!$C$3:$C$501,"=561",'Plan prihoda za unos u SAP'!$K$3:$K$501,"=639")</f>
        <v>0</v>
      </c>
      <c r="L88" s="162">
        <f>SUMIFS('Plan prihoda za unos u SAP'!$I$3:$I$501,'Plan prihoda za unos u SAP'!$C$3:$C$501,"=563",'Plan prihoda za unos u SAP'!$K$3:$K$501,"=639")</f>
        <v>0</v>
      </c>
      <c r="M88" s="162">
        <f>SUMIFS('Plan prihoda za unos u SAP'!$I$3:$I$501,'Plan prihoda za unos u SAP'!$C$3:$C$501,"=61",'Plan prihoda za unos u SAP'!$K$3:$K$501,"=639")</f>
        <v>0</v>
      </c>
      <c r="N88" s="162">
        <f>SUMIFS('Plan prihoda za unos u SAP'!$I$3:$I$501,'Plan prihoda za unos u SAP'!$C$3:$C$501,"=63",'Plan prihoda za unos u SAP'!$K$3:$K$501,"=639")</f>
        <v>0</v>
      </c>
      <c r="O88" s="162">
        <f>SUMIFS('Plan prihoda za unos u SAP'!$I$3:$I$501,'Plan prihoda za unos u SAP'!$C$3:$C$501,"=71",'Plan prihoda za unos u SAP'!$K$3:$K$501,"=639")</f>
        <v>0</v>
      </c>
      <c r="P88" s="162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296</v>
      </c>
      <c r="B89" s="97" t="s">
        <v>297</v>
      </c>
      <c r="C89" s="71">
        <f t="shared" si="27"/>
        <v>5862</v>
      </c>
      <c r="D89" s="162">
        <f>SUMIFS('Plan prihoda za unos u SAP'!$I$3:$I$501,'Plan prihoda za unos u SAP'!$C$3:$C$501,"=11",'Plan prihoda za unos u SAP'!$K$3:$K$501,"=641")</f>
        <v>0</v>
      </c>
      <c r="E89" s="162">
        <f>SUMIFS('Plan prihoda za unos u SAP'!$I$3:$I$501,'Plan prihoda za unos u SAP'!$C$3:$C$501,"=12",'Plan prihoda za unos u SAP'!$K$3:$K$501,"=641")</f>
        <v>0</v>
      </c>
      <c r="F89" s="162">
        <f>SUMIFS('Plan prihoda za unos u SAP'!$I$3:$I$501,'Plan prihoda za unos u SAP'!$C$3:$C$501,"=31",'Plan prihoda za unos u SAP'!$K$3:$K$501,"=641")</f>
        <v>5862</v>
      </c>
      <c r="G89" s="162">
        <f>SUMIFS('Plan prihoda za unos u SAP'!$I$3:$I$501,'Plan prihoda za unos u SAP'!$C$3:$C$501,"=43",'Plan prihoda za unos u SAP'!$K$3:$K$501,"=641")</f>
        <v>0</v>
      </c>
      <c r="H89" s="162">
        <f>SUMIFS('Plan prihoda za unos u SAP'!$I$3:$I$501,'Plan prihoda za unos u SAP'!$C$3:$C$501,"=51",'Plan prihoda za unos u SAP'!$K$3:$K$501,"=641")</f>
        <v>0</v>
      </c>
      <c r="I89" s="162">
        <f>SUMIFS('Plan prihoda za unos u SAP'!$I$3:$I$501,'Plan prihoda za unos u SAP'!$C$3:$C$501,"=52",'Plan prihoda za unos u SAP'!$K$3:$K$501,"=641")</f>
        <v>0</v>
      </c>
      <c r="J89" s="162">
        <f>SUMIFS('Plan prihoda za unos u SAP'!$I$3:$I$501,'Plan prihoda za unos u SAP'!$C$3:$C$501,"=559",'Plan prihoda za unos u SAP'!$K$3:$K$501,"=641")</f>
        <v>0</v>
      </c>
      <c r="K89" s="162">
        <f>SUMIFS('Plan prihoda za unos u SAP'!$I$3:$I$501,'Plan prihoda za unos u SAP'!$C$3:$C$501,"=561",'Plan prihoda za unos u SAP'!$K$3:$K$501,"=641")</f>
        <v>0</v>
      </c>
      <c r="L89" s="162">
        <f>SUMIFS('Plan prihoda za unos u SAP'!$I$3:$I$501,'Plan prihoda za unos u SAP'!$C$3:$C$501,"=563",'Plan prihoda za unos u SAP'!$K$3:$K$501,"=641")</f>
        <v>0</v>
      </c>
      <c r="M89" s="162">
        <f>SUMIFS('Plan prihoda za unos u SAP'!$I$3:$I$501,'Plan prihoda za unos u SAP'!$C$3:$C$501,"=61",'Plan prihoda za unos u SAP'!$K$3:$K$501,"=641")</f>
        <v>0</v>
      </c>
      <c r="N89" s="162">
        <f>SUMIFS('Plan prihoda za unos u SAP'!$I$3:$I$501,'Plan prihoda za unos u SAP'!$C$3:$C$501,"=63",'Plan prihoda za unos u SAP'!$K$3:$K$501,"=641")</f>
        <v>0</v>
      </c>
      <c r="O89" s="162">
        <f>SUMIFS('Plan prihoda za unos u SAP'!$I$3:$I$501,'Plan prihoda za unos u SAP'!$C$3:$C$501,"=71",'Plan prihoda za unos u SAP'!$K$3:$K$501,"=641")</f>
        <v>0</v>
      </c>
      <c r="P89" s="162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298</v>
      </c>
      <c r="B90" s="97" t="s">
        <v>299</v>
      </c>
      <c r="C90" s="71">
        <f t="shared" si="27"/>
        <v>0</v>
      </c>
      <c r="D90" s="162">
        <f>SUMIFS('Plan prihoda za unos u SAP'!$I$3:$I$501,'Plan prihoda za unos u SAP'!$C$3:$C$501,"=11",'Plan prihoda za unos u SAP'!$K$3:$K$501,"=642")</f>
        <v>0</v>
      </c>
      <c r="E90" s="162">
        <f>SUMIFS('Plan prihoda za unos u SAP'!$I$3:$I$501,'Plan prihoda za unos u SAP'!$C$3:$C$501,"=12",'Plan prihoda za unos u SAP'!$K$3:$K$501,"=642")</f>
        <v>0</v>
      </c>
      <c r="F90" s="162">
        <f>SUMIFS('Plan prihoda za unos u SAP'!$I$3:$I$501,'Plan prihoda za unos u SAP'!$C$3:$C$501,"=31",'Plan prihoda za unos u SAP'!$K$3:$K$501,"=642")</f>
        <v>0</v>
      </c>
      <c r="G90" s="162">
        <f>SUMIFS('Plan prihoda za unos u SAP'!$I$3:$I$501,'Plan prihoda za unos u SAP'!$C$3:$C$501,"=43",'Plan prihoda za unos u SAP'!$K$3:$K$501,"=642")</f>
        <v>0</v>
      </c>
      <c r="H90" s="162">
        <f>SUMIFS('Plan prihoda za unos u SAP'!$I$3:$I$501,'Plan prihoda za unos u SAP'!$C$3:$C$501,"=51",'Plan prihoda za unos u SAP'!$K$3:$K$501,"=642")</f>
        <v>0</v>
      </c>
      <c r="I90" s="162">
        <f>SUMIFS('Plan prihoda za unos u SAP'!$I$3:$I$501,'Plan prihoda za unos u SAP'!$C$3:$C$501,"=52",'Plan prihoda za unos u SAP'!$K$3:$K$501,"=642")</f>
        <v>0</v>
      </c>
      <c r="J90" s="162">
        <f>SUMIFS('Plan prihoda za unos u SAP'!$I$3:$I$501,'Plan prihoda za unos u SAP'!$C$3:$C$501,"=559",'Plan prihoda za unos u SAP'!$K$3:$K$501,"=642")</f>
        <v>0</v>
      </c>
      <c r="K90" s="162">
        <f>SUMIFS('Plan prihoda za unos u SAP'!$I$3:$I$501,'Plan prihoda za unos u SAP'!$C$3:$C$501,"=561",'Plan prihoda za unos u SAP'!$K$3:$K$501,"=642")</f>
        <v>0</v>
      </c>
      <c r="L90" s="162">
        <f>SUMIFS('Plan prihoda za unos u SAP'!$I$3:$I$501,'Plan prihoda za unos u SAP'!$C$3:$C$501,"=563",'Plan prihoda za unos u SAP'!$K$3:$K$501,"=642")</f>
        <v>0</v>
      </c>
      <c r="M90" s="162">
        <f>SUMIFS('Plan prihoda za unos u SAP'!$I$3:$I$501,'Plan prihoda za unos u SAP'!$C$3:$C$501,"=61",'Plan prihoda za unos u SAP'!$K$3:$K$501,"=642")</f>
        <v>0</v>
      </c>
      <c r="N90" s="162">
        <f>SUMIFS('Plan prihoda za unos u SAP'!$I$3:$I$501,'Plan prihoda za unos u SAP'!$C$3:$C$501,"=63",'Plan prihoda za unos u SAP'!$K$3:$K$501,"=642")</f>
        <v>0</v>
      </c>
      <c r="O90" s="162">
        <f>SUMIFS('Plan prihoda za unos u SAP'!$I$3:$I$501,'Plan prihoda za unos u SAP'!$C$3:$C$501,"=71",'Plan prihoda za unos u SAP'!$K$3:$K$501,"=642")</f>
        <v>0</v>
      </c>
      <c r="P90" s="162">
        <f>SUMIFS('Plan prihoda za unos u SAP'!$I$3:$I$501,'Plan prihoda za unos u SAP'!$C$3:$C$501,"=81",'Plan prihoda za unos u SAP'!$K$3:$K$501,"=642")</f>
        <v>0</v>
      </c>
    </row>
    <row r="91" spans="1:22" s="91" customFormat="1">
      <c r="A91" s="199" t="s">
        <v>385</v>
      </c>
      <c r="B91" s="97" t="s">
        <v>384</v>
      </c>
      <c r="C91" s="71">
        <f t="shared" si="27"/>
        <v>0</v>
      </c>
      <c r="D91" s="162">
        <f>SUMIFS('Plan prihoda za unos u SAP'!$I$3:$I$501,'Plan prihoda za unos u SAP'!$C$3:$C$501,"=11",'Plan prihoda za unos u SAP'!$K$3:$K$501,"=651")</f>
        <v>0</v>
      </c>
      <c r="E91" s="162">
        <f>SUMIFS('Plan prihoda za unos u SAP'!$I$3:$I$501,'Plan prihoda za unos u SAP'!$C$3:$C$501,"=12",'Plan prihoda za unos u SAP'!$K$3:$K$501,"=651")</f>
        <v>0</v>
      </c>
      <c r="F91" s="162">
        <f>SUMIFS('Plan prihoda za unos u SAP'!$I$3:$I$501,'Plan prihoda za unos u SAP'!$C$3:$C$501,"=31",'Plan prihoda za unos u SAP'!$K$3:$K$501,"=651")</f>
        <v>0</v>
      </c>
      <c r="G91" s="162">
        <f>SUMIFS('Plan prihoda za unos u SAP'!$I$3:$I$501,'Plan prihoda za unos u SAP'!$C$3:$C$501,"=43",'Plan prihoda za unos u SAP'!$K$3:$K$501,"=651")</f>
        <v>0</v>
      </c>
      <c r="H91" s="162">
        <f>SUMIFS('Plan prihoda za unos u SAP'!$I$3:$I$501,'Plan prihoda za unos u SAP'!$C$3:$C$501,"=51",'Plan prihoda za unos u SAP'!$K$3:$K$501,"=651")</f>
        <v>0</v>
      </c>
      <c r="I91" s="162">
        <f>SUMIFS('Plan prihoda za unos u SAP'!$I$3:$I$501,'Plan prihoda za unos u SAP'!$C$3:$C$501,"=52",'Plan prihoda za unos u SAP'!$K$3:$K$501,"=651")</f>
        <v>0</v>
      </c>
      <c r="J91" s="162">
        <f>SUMIFS('Plan prihoda za unos u SAP'!$I$3:$I$501,'Plan prihoda za unos u SAP'!$C$3:$C$501,"=559",'Plan prihoda za unos u SAP'!$K$3:$K$501,"=651")</f>
        <v>0</v>
      </c>
      <c r="K91" s="162">
        <f>SUMIFS('Plan prihoda za unos u SAP'!$I$3:$I$501,'Plan prihoda za unos u SAP'!$C$3:$C$501,"=561",'Plan prihoda za unos u SAP'!$K$3:$K$501,"=651")</f>
        <v>0</v>
      </c>
      <c r="L91" s="162">
        <f>SUMIFS('Plan prihoda za unos u SAP'!$I$3:$I$501,'Plan prihoda za unos u SAP'!$C$3:$C$501,"=563",'Plan prihoda za unos u SAP'!$K$3:$K$501,"=651")</f>
        <v>0</v>
      </c>
      <c r="M91" s="162">
        <f>SUMIFS('Plan prihoda za unos u SAP'!$I$3:$I$501,'Plan prihoda za unos u SAP'!$C$3:$C$501,"=61",'Plan prihoda za unos u SAP'!$K$3:$K$501,"=651")</f>
        <v>0</v>
      </c>
      <c r="N91" s="162">
        <f>SUMIFS('Plan prihoda za unos u SAP'!$I$3:$I$501,'Plan prihoda za unos u SAP'!$C$3:$C$501,"=63",'Plan prihoda za unos u SAP'!$K$3:$K$501,"=651")</f>
        <v>0</v>
      </c>
      <c r="O91" s="162">
        <f>SUMIFS('Plan prihoda za unos u SAP'!$I$3:$I$501,'Plan prihoda za unos u SAP'!$C$3:$C$501,"=71",'Plan prihoda za unos u SAP'!$K$3:$K$501,"=651")</f>
        <v>0</v>
      </c>
      <c r="P91" s="162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300</v>
      </c>
      <c r="B92" s="97" t="s">
        <v>301</v>
      </c>
      <c r="C92" s="71">
        <f t="shared" si="27"/>
        <v>7997661</v>
      </c>
      <c r="D92" s="162">
        <f>SUMIFS('Plan prihoda za unos u SAP'!$I$3:$I$501,'Plan prihoda za unos u SAP'!$C$3:$C$501,"=11",'Plan prihoda za unos u SAP'!$K$3:$K$501,"=652")</f>
        <v>0</v>
      </c>
      <c r="E92" s="162">
        <f>SUMIFS('Plan prihoda za unos u SAP'!$I$3:$I$501,'Plan prihoda za unos u SAP'!$C$3:$C$501,"=12",'Plan prihoda za unos u SAP'!$K$3:$K$501,"=652")</f>
        <v>0</v>
      </c>
      <c r="F92" s="162">
        <f>SUMIFS('Plan prihoda za unos u SAP'!$I$3:$I$501,'Plan prihoda za unos u SAP'!$C$3:$C$501,"=31",'Plan prihoda za unos u SAP'!$K$3:$K$501,"=652")</f>
        <v>0</v>
      </c>
      <c r="G92" s="162">
        <f>SUMIFS('Plan prihoda za unos u SAP'!$I$3:$I$501,'Plan prihoda za unos u SAP'!$C$3:$C$501,"=43",'Plan prihoda za unos u SAP'!$K$3:$K$501,"=652")</f>
        <v>7997661</v>
      </c>
      <c r="H92" s="162">
        <f>SUMIFS('Plan prihoda za unos u SAP'!$I$3:$I$501,'Plan prihoda za unos u SAP'!$C$3:$C$501,"=51",'Plan prihoda za unos u SAP'!$K$3:$K$501,"=652")</f>
        <v>0</v>
      </c>
      <c r="I92" s="162">
        <f>SUMIFS('Plan prihoda za unos u SAP'!$I$3:$I$501,'Plan prihoda za unos u SAP'!$C$3:$C$501,"=52",'Plan prihoda za unos u SAP'!$K$3:$K$501,"=652")</f>
        <v>0</v>
      </c>
      <c r="J92" s="162">
        <f>SUMIFS('Plan prihoda za unos u SAP'!$I$3:$I$501,'Plan prihoda za unos u SAP'!$C$3:$C$501,"=559",'Plan prihoda za unos u SAP'!$K$3:$K$501,"=652")</f>
        <v>0</v>
      </c>
      <c r="K92" s="162">
        <f>SUMIFS('Plan prihoda za unos u SAP'!$I$3:$I$501,'Plan prihoda za unos u SAP'!$C$3:$C$501,"=561",'Plan prihoda za unos u SAP'!$K$3:$K$501,"=652")</f>
        <v>0</v>
      </c>
      <c r="L92" s="162">
        <f>SUMIFS('Plan prihoda za unos u SAP'!$I$3:$I$501,'Plan prihoda za unos u SAP'!$C$3:$C$501,"=563",'Plan prihoda za unos u SAP'!$K$3:$K$501,"=652")</f>
        <v>0</v>
      </c>
      <c r="M92" s="162">
        <f>SUMIFS('Plan prihoda za unos u SAP'!$I$3:$I$501,'Plan prihoda za unos u SAP'!$C$3:$C$501,"=61",'Plan prihoda za unos u SAP'!$K$3:$K$501,"=652")</f>
        <v>0</v>
      </c>
      <c r="N92" s="162">
        <f>SUMIFS('Plan prihoda za unos u SAP'!$I$3:$I$501,'Plan prihoda za unos u SAP'!$C$3:$C$501,"=63",'Plan prihoda za unos u SAP'!$K$3:$K$501,"=652")</f>
        <v>0</v>
      </c>
      <c r="O92" s="162">
        <f>SUMIFS('Plan prihoda za unos u SAP'!$I$3:$I$501,'Plan prihoda za unos u SAP'!$C$3:$C$501,"=71",'Plan prihoda za unos u SAP'!$K$3:$K$501,"=652")</f>
        <v>0</v>
      </c>
      <c r="P92" s="162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302</v>
      </c>
      <c r="B93" s="97" t="s">
        <v>303</v>
      </c>
      <c r="C93" s="71">
        <f t="shared" si="27"/>
        <v>1234728</v>
      </c>
      <c r="D93" s="162">
        <f>SUMIFS('Plan prihoda za unos u SAP'!$I$3:$I$501,'Plan prihoda za unos u SAP'!$C$3:$C$501,"=11",'Plan prihoda za unos u SAP'!$K$3:$K$501,"=661")</f>
        <v>0</v>
      </c>
      <c r="E93" s="162">
        <f>SUMIFS('Plan prihoda za unos u SAP'!$I$3:$I$501,'Plan prihoda za unos u SAP'!$C$3:$C$501,"=12",'Plan prihoda za unos u SAP'!$K$3:$K$501,"=661")</f>
        <v>0</v>
      </c>
      <c r="F93" s="162">
        <f>SUMIFS('Plan prihoda za unos u SAP'!$I$3:$I$501,'Plan prihoda za unos u SAP'!$C$3:$C$501,"=31",'Plan prihoda za unos u SAP'!$K$3:$K$501,"=661")</f>
        <v>1234728</v>
      </c>
      <c r="G93" s="162">
        <f>SUMIFS('Plan prihoda za unos u SAP'!$I$3:$I$501,'Plan prihoda za unos u SAP'!$C$3:$C$501,"=43",'Plan prihoda za unos u SAP'!$K$3:$K$501,"=661")</f>
        <v>0</v>
      </c>
      <c r="H93" s="162">
        <f>SUMIFS('Plan prihoda za unos u SAP'!$I$3:$I$501,'Plan prihoda za unos u SAP'!$C$3:$C$501,"=51",'Plan prihoda za unos u SAP'!$K$3:$K$501,"=661")</f>
        <v>0</v>
      </c>
      <c r="I93" s="162">
        <f>SUMIFS('Plan prihoda za unos u SAP'!$I$3:$I$501,'Plan prihoda za unos u SAP'!$C$3:$C$501,"=52",'Plan prihoda za unos u SAP'!$K$3:$K$501,"=661")</f>
        <v>0</v>
      </c>
      <c r="J93" s="162">
        <f>SUMIFS('Plan prihoda za unos u SAP'!$I$3:$I$501,'Plan prihoda za unos u SAP'!$C$3:$C$501,"=559",'Plan prihoda za unos u SAP'!$K$3:$K$501,"=661")</f>
        <v>0</v>
      </c>
      <c r="K93" s="162">
        <f>SUMIFS('Plan prihoda za unos u SAP'!$I$3:$I$501,'Plan prihoda za unos u SAP'!$C$3:$C$501,"=561",'Plan prihoda za unos u SAP'!$K$3:$K$501,"=661")</f>
        <v>0</v>
      </c>
      <c r="L93" s="162">
        <f>SUMIFS('Plan prihoda za unos u SAP'!$I$3:$I$501,'Plan prihoda za unos u SAP'!$C$3:$C$501,"=563",'Plan prihoda za unos u SAP'!$K$3:$K$501,"=661")</f>
        <v>0</v>
      </c>
      <c r="M93" s="162">
        <f>SUMIFS('Plan prihoda za unos u SAP'!$I$3:$I$501,'Plan prihoda za unos u SAP'!$C$3:$C$501,"=61",'Plan prihoda za unos u SAP'!$K$3:$K$501,"=661")</f>
        <v>0</v>
      </c>
      <c r="N93" s="162">
        <f>SUMIFS('Plan prihoda za unos u SAP'!$I$3:$I$501,'Plan prihoda za unos u SAP'!$C$3:$C$501,"=63",'Plan prihoda za unos u SAP'!$K$3:$K$501,"=661")</f>
        <v>0</v>
      </c>
      <c r="O93" s="162">
        <f>SUMIFS('Plan prihoda za unos u SAP'!$I$3:$I$501,'Plan prihoda za unos u SAP'!$C$3:$C$501,"=71",'Plan prihoda za unos u SAP'!$K$3:$K$501,"=661")</f>
        <v>0</v>
      </c>
      <c r="P93" s="162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304</v>
      </c>
      <c r="B94" s="97" t="s">
        <v>305</v>
      </c>
      <c r="C94" s="71">
        <f t="shared" si="27"/>
        <v>813941</v>
      </c>
      <c r="D94" s="162">
        <f>SUMIFS('Plan prihoda za unos u SAP'!$I$3:$I$501,'Plan prihoda za unos u SAP'!$C$3:$C$501,"=11",'Plan prihoda za unos u SAP'!$K$3:$K$501,"=663")</f>
        <v>0</v>
      </c>
      <c r="E94" s="162">
        <f>SUMIFS('Plan prihoda za unos u SAP'!$I$3:$I$501,'Plan prihoda za unos u SAP'!$C$3:$C$501,"=12",'Plan prihoda za unos u SAP'!$K$3:$K$501,"=663")</f>
        <v>0</v>
      </c>
      <c r="F94" s="162">
        <f>SUMIFS('Plan prihoda za unos u SAP'!$I$3:$I$501,'Plan prihoda za unos u SAP'!$C$3:$C$501,"=31",'Plan prihoda za unos u SAP'!$K$3:$K$501,"=663")</f>
        <v>0</v>
      </c>
      <c r="G94" s="162">
        <f>SUMIFS('Plan prihoda za unos u SAP'!$I$3:$I$501,'Plan prihoda za unos u SAP'!$C$3:$C$501,"=43",'Plan prihoda za unos u SAP'!$K$3:$K$501,"=663")</f>
        <v>0</v>
      </c>
      <c r="H94" s="162">
        <f>SUMIFS('Plan prihoda za unos u SAP'!$I$3:$I$501,'Plan prihoda za unos u SAP'!$C$3:$C$501,"=51",'Plan prihoda za unos u SAP'!$K$3:$K$501,"=663")</f>
        <v>0</v>
      </c>
      <c r="I94" s="162">
        <f>SUMIFS('Plan prihoda za unos u SAP'!$I$3:$I$501,'Plan prihoda za unos u SAP'!$C$3:$C$501,"=52",'Plan prihoda za unos u SAP'!$K$3:$K$501,"=663")</f>
        <v>0</v>
      </c>
      <c r="J94" s="162">
        <f>SUMIFS('Plan prihoda za unos u SAP'!$I$3:$I$501,'Plan prihoda za unos u SAP'!$C$3:$C$501,"=559",'Plan prihoda za unos u SAP'!$K$3:$K$501,"=663")</f>
        <v>0</v>
      </c>
      <c r="K94" s="162">
        <f>SUMIFS('Plan prihoda za unos u SAP'!$I$3:$I$501,'Plan prihoda za unos u SAP'!$C$3:$C$501,"=561",'Plan prihoda za unos u SAP'!$K$3:$K$501,"=663")</f>
        <v>0</v>
      </c>
      <c r="L94" s="162">
        <f>SUMIFS('Plan prihoda za unos u SAP'!$I$3:$I$501,'Plan prihoda za unos u SAP'!$C$3:$C$501,"=563",'Plan prihoda za unos u SAP'!$K$3:$K$501,"=663")</f>
        <v>0</v>
      </c>
      <c r="M94" s="162">
        <f>SUMIFS('Plan prihoda za unos u SAP'!$I$3:$I$501,'Plan prihoda za unos u SAP'!$C$3:$C$501,"=61",'Plan prihoda za unos u SAP'!$K$3:$K$501,"=663")</f>
        <v>813941</v>
      </c>
      <c r="N94" s="162">
        <f>SUMIFS('Plan prihoda za unos u SAP'!$I$3:$I$501,'Plan prihoda za unos u SAP'!$C$3:$C$501,"=63",'Plan prihoda za unos u SAP'!$K$3:$K$501,"=663")</f>
        <v>0</v>
      </c>
      <c r="O94" s="162">
        <f>SUMIFS('Plan prihoda za unos u SAP'!$I$3:$I$501,'Plan prihoda za unos u SAP'!$C$3:$C$501,"=71",'Plan prihoda za unos u SAP'!$K$3:$K$501,"=663")</f>
        <v>0</v>
      </c>
      <c r="P94" s="162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306</v>
      </c>
      <c r="B95" s="131" t="s">
        <v>266</v>
      </c>
      <c r="C95" s="71">
        <f t="shared" si="27"/>
        <v>61754166.601805158</v>
      </c>
      <c r="D95" s="162">
        <f>SUMIFS('Plan prihoda za unos u SAP'!$I$3:$I$501,'Plan prihoda za unos u SAP'!$C$3:$C$501,"=11",'Plan prihoda za unos u SAP'!$K$3:$K$501,"=671")</f>
        <v>60486646.601805158</v>
      </c>
      <c r="E95" s="162">
        <f>SUMIFS('Plan prihoda za unos u SAP'!$I$3:$I$501,'Plan prihoda za unos u SAP'!$C$3:$C$501,"=12",'Plan prihoda za unos u SAP'!$K$3:$K$501,"=671")</f>
        <v>1267520</v>
      </c>
      <c r="F95" s="162">
        <f>SUMIFS('Plan prihoda za unos u SAP'!$I$3:$I$501,'Plan prihoda za unos u SAP'!$C$3:$C$501,"=31",'Plan prihoda za unos u SAP'!$K$3:$K$501,"=671")</f>
        <v>0</v>
      </c>
      <c r="G95" s="162">
        <f>SUMIFS('Plan prihoda za unos u SAP'!$I$3:$I$501,'Plan prihoda za unos u SAP'!$C$3:$C$501,"=43",'Plan prihoda za unos u SAP'!$K$3:$K$501,"=671")</f>
        <v>0</v>
      </c>
      <c r="H95" s="162">
        <f>SUMIFS('Plan prihoda za unos u SAP'!$I$3:$I$501,'Plan prihoda za unos u SAP'!$C$3:$C$501,"=51",'Plan prihoda za unos u SAP'!$K$3:$K$501,"=671")</f>
        <v>0</v>
      </c>
      <c r="I95" s="162">
        <f>SUMIFS('Plan prihoda za unos u SAP'!$I$3:$I$501,'Plan prihoda za unos u SAP'!$C$3:$C$501,"=52",'Plan prihoda za unos u SAP'!$K$3:$K$501,"=671")</f>
        <v>0</v>
      </c>
      <c r="J95" s="162">
        <f>SUMIFS('Plan prihoda za unos u SAP'!$I$3:$I$501,'Plan prihoda za unos u SAP'!$C$3:$C$501,"=559",'Plan prihoda za unos u SAP'!$K$3:$K$501,"=671")</f>
        <v>0</v>
      </c>
      <c r="K95" s="162">
        <f>SUMIFS('Plan prihoda za unos u SAP'!$I$3:$I$501,'Plan prihoda za unos u SAP'!$C$3:$C$501,"=561",'Plan prihoda za unos u SAP'!$K$3:$K$501,"=671")</f>
        <v>0</v>
      </c>
      <c r="L95" s="162">
        <f>SUMIFS('Plan prihoda za unos u SAP'!$I$3:$I$501,'Plan prihoda za unos u SAP'!$C$3:$C$501,"=563",'Plan prihoda za unos u SAP'!$K$3:$K$501,"=671")</f>
        <v>0</v>
      </c>
      <c r="M95" s="162">
        <f>SUMIFS('Plan prihoda za unos u SAP'!$I$3:$I$501,'Plan prihoda za unos u SAP'!$C$3:$C$501,"=61",'Plan prihoda za unos u SAP'!$K$3:$K$501,"=671")</f>
        <v>0</v>
      </c>
      <c r="N95" s="162">
        <f>SUMIFS('Plan prihoda za unos u SAP'!$I$3:$I$501,'Plan prihoda za unos u SAP'!$C$3:$C$501,"=63",'Plan prihoda za unos u SAP'!$K$3:$K$501,"=671")</f>
        <v>0</v>
      </c>
      <c r="O95" s="162">
        <f>SUMIFS('Plan prihoda za unos u SAP'!$I$3:$I$501,'Plan prihoda za unos u SAP'!$C$3:$C$501,"=71",'Plan prihoda za unos u SAP'!$K$3:$K$501,"=671")</f>
        <v>0</v>
      </c>
      <c r="P95" s="162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307</v>
      </c>
      <c r="B96" s="97" t="s">
        <v>308</v>
      </c>
      <c r="C96" s="71">
        <f t="shared" si="27"/>
        <v>0</v>
      </c>
      <c r="D96" s="162">
        <f>SUMIFS('Plan prihoda za unos u SAP'!$I$3:$I$501,'Plan prihoda za unos u SAP'!$C$3:$C$501,"=11",'Plan prihoda za unos u SAP'!$K$3:$K$501,"=681")</f>
        <v>0</v>
      </c>
      <c r="E96" s="162">
        <f>SUMIFS('Plan prihoda za unos u SAP'!$I$3:$I$501,'Plan prihoda za unos u SAP'!$C$3:$C$501,"=12",'Plan prihoda za unos u SAP'!$K$3:$K$501,"=681")</f>
        <v>0</v>
      </c>
      <c r="F96" s="162">
        <f>SUMIFS('Plan prihoda za unos u SAP'!$I$3:$I$501,'Plan prihoda za unos u SAP'!$C$3:$C$501,"=31",'Plan prihoda za unos u SAP'!$K$3:$K$501,"=681")</f>
        <v>0</v>
      </c>
      <c r="G96" s="162">
        <f>SUMIFS('Plan prihoda za unos u SAP'!$I$3:$I$501,'Plan prihoda za unos u SAP'!$C$3:$C$501,"=43",'Plan prihoda za unos u SAP'!$K$3:$K$501,"=681")</f>
        <v>0</v>
      </c>
      <c r="H96" s="162">
        <f>SUMIFS('Plan prihoda za unos u SAP'!$I$3:$I$501,'Plan prihoda za unos u SAP'!$C$3:$C$501,"=51",'Plan prihoda za unos u SAP'!$K$3:$K$501,"=681")</f>
        <v>0</v>
      </c>
      <c r="I96" s="162">
        <f>SUMIFS('Plan prihoda za unos u SAP'!$I$3:$I$501,'Plan prihoda za unos u SAP'!$C$3:$C$501,"=52",'Plan prihoda za unos u SAP'!$K$3:$K$501,"=681")</f>
        <v>0</v>
      </c>
      <c r="J96" s="162">
        <f>SUMIFS('Plan prihoda za unos u SAP'!$I$3:$I$501,'Plan prihoda za unos u SAP'!$C$3:$C$501,"=559",'Plan prihoda za unos u SAP'!$K$3:$K$501,"=681")</f>
        <v>0</v>
      </c>
      <c r="K96" s="162">
        <f>SUMIFS('Plan prihoda za unos u SAP'!$I$3:$I$501,'Plan prihoda za unos u SAP'!$C$3:$C$501,"=561",'Plan prihoda za unos u SAP'!$K$3:$K$501,"=681")</f>
        <v>0</v>
      </c>
      <c r="L96" s="162">
        <f>SUMIFS('Plan prihoda za unos u SAP'!$I$3:$I$501,'Plan prihoda za unos u SAP'!$C$3:$C$501,"=563",'Plan prihoda za unos u SAP'!$K$3:$K$501,"=681")</f>
        <v>0</v>
      </c>
      <c r="M96" s="162">
        <f>SUMIFS('Plan prihoda za unos u SAP'!$I$3:$I$501,'Plan prihoda za unos u SAP'!$C$3:$C$501,"=61",'Plan prihoda za unos u SAP'!$K$3:$K$501,"=681")</f>
        <v>0</v>
      </c>
      <c r="N96" s="162">
        <f>SUMIFS('Plan prihoda za unos u SAP'!$I$3:$I$501,'Plan prihoda za unos u SAP'!$C$3:$C$501,"=63",'Plan prihoda za unos u SAP'!$K$3:$K$501,"=681")</f>
        <v>0</v>
      </c>
      <c r="O96" s="162">
        <f>SUMIFS('Plan prihoda za unos u SAP'!$I$3:$I$501,'Plan prihoda za unos u SAP'!$C$3:$C$501,"=71",'Plan prihoda za unos u SAP'!$K$3:$K$501,"=681")</f>
        <v>0</v>
      </c>
      <c r="P96" s="162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309</v>
      </c>
      <c r="B97" s="97" t="s">
        <v>310</v>
      </c>
      <c r="C97" s="71">
        <f t="shared" si="27"/>
        <v>0</v>
      </c>
      <c r="D97" s="162">
        <f>SUMIFS('Plan prihoda za unos u SAP'!$I$3:$I$501,'Plan prihoda za unos u SAP'!$C$3:$C$501,"=11",'Plan prihoda za unos u SAP'!$K$3:$K$501,"=683")</f>
        <v>0</v>
      </c>
      <c r="E97" s="162">
        <f>SUMIFS('Plan prihoda za unos u SAP'!$I$3:$I$501,'Plan prihoda za unos u SAP'!$C$3:$C$501,"=12",'Plan prihoda za unos u SAP'!$K$3:$K$501,"=683")</f>
        <v>0</v>
      </c>
      <c r="F97" s="162">
        <f>SUMIFS('Plan prihoda za unos u SAP'!$I$3:$I$501,'Plan prihoda za unos u SAP'!$C$3:$C$501,"=31",'Plan prihoda za unos u SAP'!$K$3:$K$501,"=683")</f>
        <v>0</v>
      </c>
      <c r="G97" s="162">
        <f>SUMIFS('Plan prihoda za unos u SAP'!$I$3:$I$501,'Plan prihoda za unos u SAP'!$C$3:$C$501,"=43",'Plan prihoda za unos u SAP'!$K$3:$K$501,"=683")</f>
        <v>0</v>
      </c>
      <c r="H97" s="162">
        <f>SUMIFS('Plan prihoda za unos u SAP'!$I$3:$I$501,'Plan prihoda za unos u SAP'!$C$3:$C$501,"=51",'Plan prihoda za unos u SAP'!$K$3:$K$501,"=683")</f>
        <v>0</v>
      </c>
      <c r="I97" s="162">
        <f>SUMIFS('Plan prihoda za unos u SAP'!$I$3:$I$501,'Plan prihoda za unos u SAP'!$C$3:$C$501,"=52",'Plan prihoda za unos u SAP'!$K$3:$K$501,"=683")</f>
        <v>0</v>
      </c>
      <c r="J97" s="162">
        <f>SUMIFS('Plan prihoda za unos u SAP'!$I$3:$I$501,'Plan prihoda za unos u SAP'!$C$3:$C$501,"=559",'Plan prihoda za unos u SAP'!$K$3:$K$501,"=683")</f>
        <v>0</v>
      </c>
      <c r="K97" s="162">
        <f>SUMIFS('Plan prihoda za unos u SAP'!$I$3:$I$501,'Plan prihoda za unos u SAP'!$C$3:$C$501,"=561",'Plan prihoda za unos u SAP'!$K$3:$K$501,"=683")</f>
        <v>0</v>
      </c>
      <c r="L97" s="162">
        <f>SUMIFS('Plan prihoda za unos u SAP'!$I$3:$I$501,'Plan prihoda za unos u SAP'!$C$3:$C$501,"=563",'Plan prihoda za unos u SAP'!$K$3:$K$501,"=683")</f>
        <v>0</v>
      </c>
      <c r="M97" s="162">
        <f>SUMIFS('Plan prihoda za unos u SAP'!$I$3:$I$501,'Plan prihoda za unos u SAP'!$C$3:$C$501,"=61",'Plan prihoda za unos u SAP'!$K$3:$K$501,"=683")</f>
        <v>0</v>
      </c>
      <c r="N97" s="162">
        <f>SUMIFS('Plan prihoda za unos u SAP'!$I$3:$I$501,'Plan prihoda za unos u SAP'!$C$3:$C$501,"=63",'Plan prihoda za unos u SAP'!$K$3:$K$501,"=683")</f>
        <v>0</v>
      </c>
      <c r="O97" s="162">
        <f>SUMIFS('Plan prihoda za unos u SAP'!$I$3:$I$501,'Plan prihoda za unos u SAP'!$C$3:$C$501,"=71",'Plan prihoda za unos u SAP'!$K$3:$K$501,"=683")</f>
        <v>0</v>
      </c>
      <c r="P97" s="162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311</v>
      </c>
      <c r="B98" s="100" t="s">
        <v>312</v>
      </c>
      <c r="C98" s="71">
        <f t="shared" si="27"/>
        <v>80000976.601805151</v>
      </c>
      <c r="D98" s="4">
        <f t="shared" ref="D98:P98" si="28">SUM(D83:D97)</f>
        <v>60486646.601805158</v>
      </c>
      <c r="E98" s="4">
        <f t="shared" si="28"/>
        <v>1267520</v>
      </c>
      <c r="F98" s="4">
        <f t="shared" si="28"/>
        <v>1240590</v>
      </c>
      <c r="G98" s="4">
        <f t="shared" si="28"/>
        <v>7997661</v>
      </c>
      <c r="H98" s="4">
        <f t="shared" si="28"/>
        <v>0</v>
      </c>
      <c r="I98" s="4">
        <f t="shared" si="28"/>
        <v>1012000</v>
      </c>
      <c r="J98" s="4">
        <f t="shared" si="28"/>
        <v>0</v>
      </c>
      <c r="K98" s="4">
        <f t="shared" si="28"/>
        <v>0</v>
      </c>
      <c r="L98" s="4">
        <f t="shared" si="28"/>
        <v>7182618</v>
      </c>
      <c r="M98" s="4">
        <f t="shared" si="28"/>
        <v>813941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324</v>
      </c>
      <c r="B99" s="101" t="s">
        <v>325</v>
      </c>
      <c r="C99" s="71">
        <f t="shared" si="27"/>
        <v>0</v>
      </c>
      <c r="D99" s="162">
        <f>SUMIFS('Plan prihoda za unos u SAP'!$I$3:$I$501,'Plan prihoda za unos u SAP'!$C$3:$C$501,"=11",'Plan prihoda za unos u SAP'!$K$3:$K$501,"=711")</f>
        <v>0</v>
      </c>
      <c r="E99" s="162">
        <f>SUMIFS('Plan prihoda za unos u SAP'!$I$3:$I$501,'Plan prihoda za unos u SAP'!$C$3:$C$501,"=12",'Plan prihoda za unos u SAP'!$K$3:$K$501,"=711")</f>
        <v>0</v>
      </c>
      <c r="F99" s="162">
        <f>SUMIFS('Plan prihoda za unos u SAP'!$I$3:$I$501,'Plan prihoda za unos u SAP'!$C$3:$C$501,"=31",'Plan prihoda za unos u SAP'!$K$3:$K$501,"=711")</f>
        <v>0</v>
      </c>
      <c r="G99" s="162">
        <f>SUMIFS('Plan prihoda za unos u SAP'!$I$3:$I$501,'Plan prihoda za unos u SAP'!$C$3:$C$501,"=43",'Plan prihoda za unos u SAP'!$K$3:$K$501,"=711")</f>
        <v>0</v>
      </c>
      <c r="H99" s="162">
        <f>SUMIFS('Plan prihoda za unos u SAP'!$I$3:$I$501,'Plan prihoda za unos u SAP'!$C$3:$C$501,"=51",'Plan prihoda za unos u SAP'!$K$3:$K$501,"=711")</f>
        <v>0</v>
      </c>
      <c r="I99" s="162">
        <f>SUMIFS('Plan prihoda za unos u SAP'!$I$3:$I$501,'Plan prihoda za unos u SAP'!$C$3:$C$501,"=52",'Plan prihoda za unos u SAP'!$K$3:$K$501,"=711")</f>
        <v>0</v>
      </c>
      <c r="J99" s="162">
        <f>SUMIFS('Plan prihoda za unos u SAP'!$I$3:$I$501,'Plan prihoda za unos u SAP'!$C$3:$C$501,"=559",'Plan prihoda za unos u SAP'!$K$3:$K$501,"=711")</f>
        <v>0</v>
      </c>
      <c r="K99" s="162">
        <f>SUMIFS('Plan prihoda za unos u SAP'!$I$3:$I$501,'Plan prihoda za unos u SAP'!$C$3:$C$501,"=561",'Plan prihoda za unos u SAP'!$K$3:$K$501,"=711")</f>
        <v>0</v>
      </c>
      <c r="L99" s="162">
        <f>SUMIFS('Plan prihoda za unos u SAP'!$I$3:$I$501,'Plan prihoda za unos u SAP'!$C$3:$C$501,"=563",'Plan prihoda za unos u SAP'!$K$3:$K$501,"=711")</f>
        <v>0</v>
      </c>
      <c r="M99" s="162">
        <f>SUMIFS('Plan prihoda za unos u SAP'!$I$3:$I$501,'Plan prihoda za unos u SAP'!$C$3:$C$501,"=61",'Plan prihoda za unos u SAP'!$K$3:$K$501,"=711")</f>
        <v>0</v>
      </c>
      <c r="N99" s="162">
        <f>SUMIFS('Plan prihoda za unos u SAP'!$I$3:$I$501,'Plan prihoda za unos u SAP'!$C$3:$C$501,"=63",'Plan prihoda za unos u SAP'!$K$3:$K$501,"=711")</f>
        <v>0</v>
      </c>
      <c r="O99" s="162">
        <f>SUMIFS('Plan prihoda za unos u SAP'!$I$3:$I$501,'Plan prihoda za unos u SAP'!$C$3:$C$501,"=71",'Plan prihoda za unos u SAP'!$K$3:$K$501,"=711")</f>
        <v>0</v>
      </c>
      <c r="P99" s="162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326</v>
      </c>
      <c r="B100" s="101" t="s">
        <v>327</v>
      </c>
      <c r="C100" s="71">
        <f t="shared" si="27"/>
        <v>0</v>
      </c>
      <c r="D100" s="162">
        <f>SUMIFS('Plan prihoda za unos u SAP'!$I$3:$I$501,'Plan prihoda za unos u SAP'!$C$3:$C$501,"=11",'Plan prihoda za unos u SAP'!$K$3:$K$501,"=712")</f>
        <v>0</v>
      </c>
      <c r="E100" s="162">
        <f>SUMIFS('Plan prihoda za unos u SAP'!$I$3:$I$501,'Plan prihoda za unos u SAP'!$C$3:$C$501,"=12",'Plan prihoda za unos u SAP'!$K$3:$K$501,"=712")</f>
        <v>0</v>
      </c>
      <c r="F100" s="162">
        <f>SUMIFS('Plan prihoda za unos u SAP'!$I$3:$I$501,'Plan prihoda za unos u SAP'!$C$3:$C$501,"=31",'Plan prihoda za unos u SAP'!$K$3:$K$501,"=712")</f>
        <v>0</v>
      </c>
      <c r="G100" s="162">
        <f>SUMIFS('Plan prihoda za unos u SAP'!$I$3:$I$501,'Plan prihoda za unos u SAP'!$C$3:$C$501,"=43",'Plan prihoda za unos u SAP'!$K$3:$K$501,"=712")</f>
        <v>0</v>
      </c>
      <c r="H100" s="162">
        <f>SUMIFS('Plan prihoda za unos u SAP'!$I$3:$I$501,'Plan prihoda za unos u SAP'!$C$3:$C$501,"=51",'Plan prihoda za unos u SAP'!$K$3:$K$501,"=712")</f>
        <v>0</v>
      </c>
      <c r="I100" s="162">
        <f>SUMIFS('Plan prihoda za unos u SAP'!$I$3:$I$501,'Plan prihoda za unos u SAP'!$C$3:$C$501,"=52",'Plan prihoda za unos u SAP'!$K$3:$K$501,"=712")</f>
        <v>0</v>
      </c>
      <c r="J100" s="162">
        <f>SUMIFS('Plan prihoda za unos u SAP'!$I$3:$I$501,'Plan prihoda za unos u SAP'!$C$3:$C$501,"=559",'Plan prihoda za unos u SAP'!$K$3:$K$501,"=712")</f>
        <v>0</v>
      </c>
      <c r="K100" s="162">
        <f>SUMIFS('Plan prihoda za unos u SAP'!$I$3:$I$501,'Plan prihoda za unos u SAP'!$C$3:$C$501,"=561",'Plan prihoda za unos u SAP'!$K$3:$K$501,"=712")</f>
        <v>0</v>
      </c>
      <c r="L100" s="162">
        <f>SUMIFS('Plan prihoda za unos u SAP'!$I$3:$I$501,'Plan prihoda za unos u SAP'!$C$3:$C$501,"=563",'Plan prihoda za unos u SAP'!$K$3:$K$501,"=712")</f>
        <v>0</v>
      </c>
      <c r="M100" s="162">
        <f>SUMIFS('Plan prihoda za unos u SAP'!$I$3:$I$501,'Plan prihoda za unos u SAP'!$C$3:$C$501,"=61",'Plan prihoda za unos u SAP'!$K$3:$K$501,"=712")</f>
        <v>0</v>
      </c>
      <c r="N100" s="162">
        <f>SUMIFS('Plan prihoda za unos u SAP'!$I$3:$I$501,'Plan prihoda za unos u SAP'!$C$3:$C$501,"=63",'Plan prihoda za unos u SAP'!$K$3:$K$501,"=712")</f>
        <v>0</v>
      </c>
      <c r="O100" s="162">
        <f>SUMIFS('Plan prihoda za unos u SAP'!$I$3:$I$501,'Plan prihoda za unos u SAP'!$C$3:$C$501,"=71",'Plan prihoda za unos u SAP'!$K$3:$K$501,"=712")</f>
        <v>0</v>
      </c>
      <c r="P100" s="162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313</v>
      </c>
      <c r="B101" s="101" t="s">
        <v>314</v>
      </c>
      <c r="C101" s="71">
        <f t="shared" si="27"/>
        <v>0</v>
      </c>
      <c r="D101" s="162">
        <f>SUMIFS('Plan prihoda za unos u SAP'!$I$3:$I$501,'Plan prihoda za unos u SAP'!$C$3:$C$501,"=11",'Plan prihoda za unos u SAP'!$K$3:$K$501,"=721")</f>
        <v>0</v>
      </c>
      <c r="E101" s="162">
        <f>SUMIFS('Plan prihoda za unos u SAP'!$I$3:$I$501,'Plan prihoda za unos u SAP'!$C$3:$C$501,"=12",'Plan prihoda za unos u SAP'!$K$3:$K$501,"=721")</f>
        <v>0</v>
      </c>
      <c r="F101" s="162">
        <f>SUMIFS('Plan prihoda za unos u SAP'!$I$3:$I$501,'Plan prihoda za unos u SAP'!$C$3:$C$501,"=31",'Plan prihoda za unos u SAP'!$K$3:$K$501,"=721")</f>
        <v>0</v>
      </c>
      <c r="G101" s="162">
        <f>SUMIFS('Plan prihoda za unos u SAP'!$I$3:$I$501,'Plan prihoda za unos u SAP'!$C$3:$C$501,"=43",'Plan prihoda za unos u SAP'!$K$3:$K$501,"=721")</f>
        <v>0</v>
      </c>
      <c r="H101" s="162">
        <f>SUMIFS('Plan prihoda za unos u SAP'!$I$3:$I$501,'Plan prihoda za unos u SAP'!$C$3:$C$501,"=51",'Plan prihoda za unos u SAP'!$K$3:$K$501,"=721")</f>
        <v>0</v>
      </c>
      <c r="I101" s="162">
        <f>SUMIFS('Plan prihoda za unos u SAP'!$I$3:$I$501,'Plan prihoda za unos u SAP'!$C$3:$C$501,"=52",'Plan prihoda za unos u SAP'!$K$3:$K$501,"=721")</f>
        <v>0</v>
      </c>
      <c r="J101" s="162">
        <f>SUMIFS('Plan prihoda za unos u SAP'!$I$3:$I$501,'Plan prihoda za unos u SAP'!$C$3:$C$501,"=559",'Plan prihoda za unos u SAP'!$K$3:$K$501,"=721")</f>
        <v>0</v>
      </c>
      <c r="K101" s="162">
        <f>SUMIFS('Plan prihoda za unos u SAP'!$I$3:$I$501,'Plan prihoda za unos u SAP'!$C$3:$C$501,"=561",'Plan prihoda za unos u SAP'!$K$3:$K$501,"=721")</f>
        <v>0</v>
      </c>
      <c r="L101" s="162">
        <f>SUMIFS('Plan prihoda za unos u SAP'!$I$3:$I$501,'Plan prihoda za unos u SAP'!$C$3:$C$501,"=563",'Plan prihoda za unos u SAP'!$K$3:$K$501,"=721")</f>
        <v>0</v>
      </c>
      <c r="M101" s="162">
        <f>SUMIFS('Plan prihoda za unos u SAP'!$I$3:$I$501,'Plan prihoda za unos u SAP'!$C$3:$C$501,"=61",'Plan prihoda za unos u SAP'!$K$3:$K$501,"=721")</f>
        <v>0</v>
      </c>
      <c r="N101" s="162">
        <f>SUMIFS('Plan prihoda za unos u SAP'!$I$3:$I$501,'Plan prihoda za unos u SAP'!$C$3:$C$501,"=63",'Plan prihoda za unos u SAP'!$K$3:$K$501,"=721")</f>
        <v>0</v>
      </c>
      <c r="O101" s="162">
        <f>SUMIFS('Plan prihoda za unos u SAP'!$I$3:$I$501,'Plan prihoda za unos u SAP'!$C$3:$C$501,"=71",'Plan prihoda za unos u SAP'!$K$3:$K$501,"=721")</f>
        <v>0</v>
      </c>
      <c r="P101" s="162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315</v>
      </c>
      <c r="B102" s="101" t="s">
        <v>316</v>
      </c>
      <c r="C102" s="71">
        <f t="shared" si="27"/>
        <v>0</v>
      </c>
      <c r="D102" s="162">
        <f>SUMIFS('Plan prihoda za unos u SAP'!$I$3:$I$501,'Plan prihoda za unos u SAP'!$C$3:$C$501,"=11",'Plan prihoda za unos u SAP'!$K$3:$K$501,"=722")</f>
        <v>0</v>
      </c>
      <c r="E102" s="162">
        <f>SUMIFS('Plan prihoda za unos u SAP'!$I$3:$I$501,'Plan prihoda za unos u SAP'!$C$3:$C$501,"=12",'Plan prihoda za unos u SAP'!$K$3:$K$501,"=722")</f>
        <v>0</v>
      </c>
      <c r="F102" s="162">
        <f>SUMIFS('Plan prihoda za unos u SAP'!$I$3:$I$501,'Plan prihoda za unos u SAP'!$C$3:$C$501,"=31",'Plan prihoda za unos u SAP'!$K$3:$K$501,"=722")</f>
        <v>0</v>
      </c>
      <c r="G102" s="162">
        <f>SUMIFS('Plan prihoda za unos u SAP'!$I$3:$I$501,'Plan prihoda za unos u SAP'!$C$3:$C$501,"=43",'Plan prihoda za unos u SAP'!$K$3:$K$501,"=722")</f>
        <v>0</v>
      </c>
      <c r="H102" s="162">
        <f>SUMIFS('Plan prihoda za unos u SAP'!$I$3:$I$501,'Plan prihoda za unos u SAP'!$C$3:$C$501,"=51",'Plan prihoda za unos u SAP'!$K$3:$K$501,"=722")</f>
        <v>0</v>
      </c>
      <c r="I102" s="162">
        <f>SUMIFS('Plan prihoda za unos u SAP'!$I$3:$I$501,'Plan prihoda za unos u SAP'!$C$3:$C$501,"=52",'Plan prihoda za unos u SAP'!$K$3:$K$501,"=722")</f>
        <v>0</v>
      </c>
      <c r="J102" s="162">
        <f>SUMIFS('Plan prihoda za unos u SAP'!$I$3:$I$501,'Plan prihoda za unos u SAP'!$C$3:$C$501,"=559",'Plan prihoda za unos u SAP'!$K$3:$K$501,"=722")</f>
        <v>0</v>
      </c>
      <c r="K102" s="162">
        <f>SUMIFS('Plan prihoda za unos u SAP'!$I$3:$I$501,'Plan prihoda za unos u SAP'!$C$3:$C$501,"=561",'Plan prihoda za unos u SAP'!$K$3:$K$501,"=722")</f>
        <v>0</v>
      </c>
      <c r="L102" s="162">
        <f>SUMIFS('Plan prihoda za unos u SAP'!$I$3:$I$501,'Plan prihoda za unos u SAP'!$C$3:$C$501,"=563",'Plan prihoda za unos u SAP'!$K$3:$K$501,"=722")</f>
        <v>0</v>
      </c>
      <c r="M102" s="162">
        <f>SUMIFS('Plan prihoda za unos u SAP'!$I$3:$I$501,'Plan prihoda za unos u SAP'!$C$3:$C$501,"=61",'Plan prihoda za unos u SAP'!$K$3:$K$501,"=722")</f>
        <v>0</v>
      </c>
      <c r="N102" s="162">
        <f>SUMIFS('Plan prihoda za unos u SAP'!$I$3:$I$501,'Plan prihoda za unos u SAP'!$C$3:$C$501,"=63",'Plan prihoda za unos u SAP'!$K$3:$K$501,"=722")</f>
        <v>0</v>
      </c>
      <c r="O102" s="162">
        <f>SUMIFS('Plan prihoda za unos u SAP'!$I$3:$I$501,'Plan prihoda za unos u SAP'!$C$3:$C$501,"=71",'Plan prihoda za unos u SAP'!$K$3:$K$501,"=722")</f>
        <v>0</v>
      </c>
      <c r="P102" s="162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317</v>
      </c>
      <c r="B103" s="101" t="s">
        <v>318</v>
      </c>
      <c r="C103" s="71">
        <f t="shared" si="27"/>
        <v>0</v>
      </c>
      <c r="D103" s="162">
        <f>SUMIFS('Plan prihoda za unos u SAP'!$I$3:$I$501,'Plan prihoda za unos u SAP'!$C$3:$C$501,"=11",'Plan prihoda za unos u SAP'!$K$3:$K$501,"=723")</f>
        <v>0</v>
      </c>
      <c r="E103" s="162">
        <f>SUMIFS('Plan prihoda za unos u SAP'!$I$3:$I$501,'Plan prihoda za unos u SAP'!$C$3:$C$501,"=12",'Plan prihoda za unos u SAP'!$K$3:$K$501,"=723")</f>
        <v>0</v>
      </c>
      <c r="F103" s="162">
        <f>SUMIFS('Plan prihoda za unos u SAP'!$I$3:$I$501,'Plan prihoda za unos u SAP'!$C$3:$C$501,"=31",'Plan prihoda za unos u SAP'!$K$3:$K$501,"=723")</f>
        <v>0</v>
      </c>
      <c r="G103" s="162">
        <f>SUMIFS('Plan prihoda za unos u SAP'!$I$3:$I$501,'Plan prihoda za unos u SAP'!$C$3:$C$501,"=43",'Plan prihoda za unos u SAP'!$K$3:$K$501,"=723")</f>
        <v>0</v>
      </c>
      <c r="H103" s="162">
        <f>SUMIFS('Plan prihoda za unos u SAP'!$I$3:$I$501,'Plan prihoda za unos u SAP'!$C$3:$C$501,"=51",'Plan prihoda za unos u SAP'!$K$3:$K$501,"=723")</f>
        <v>0</v>
      </c>
      <c r="I103" s="162">
        <f>SUMIFS('Plan prihoda za unos u SAP'!$I$3:$I$501,'Plan prihoda za unos u SAP'!$C$3:$C$501,"=52",'Plan prihoda za unos u SAP'!$K$3:$K$501,"=723")</f>
        <v>0</v>
      </c>
      <c r="J103" s="162">
        <f>SUMIFS('Plan prihoda za unos u SAP'!$I$3:$I$501,'Plan prihoda za unos u SAP'!$C$3:$C$501,"=559",'Plan prihoda za unos u SAP'!$K$3:$K$501,"=723")</f>
        <v>0</v>
      </c>
      <c r="K103" s="162">
        <f>SUMIFS('Plan prihoda za unos u SAP'!$I$3:$I$501,'Plan prihoda za unos u SAP'!$C$3:$C$501,"=561",'Plan prihoda za unos u SAP'!$K$3:$K$501,"=723")</f>
        <v>0</v>
      </c>
      <c r="L103" s="162">
        <f>SUMIFS('Plan prihoda za unos u SAP'!$I$3:$I$501,'Plan prihoda za unos u SAP'!$C$3:$C$501,"=563",'Plan prihoda za unos u SAP'!$K$3:$K$501,"=723")</f>
        <v>0</v>
      </c>
      <c r="M103" s="162">
        <f>SUMIFS('Plan prihoda za unos u SAP'!$I$3:$I$501,'Plan prihoda za unos u SAP'!$C$3:$C$501,"=61",'Plan prihoda za unos u SAP'!$K$3:$K$501,"=723")</f>
        <v>0</v>
      </c>
      <c r="N103" s="162">
        <f>SUMIFS('Plan prihoda za unos u SAP'!$I$3:$I$501,'Plan prihoda za unos u SAP'!$C$3:$C$501,"=63",'Plan prihoda za unos u SAP'!$K$3:$K$501,"=723")</f>
        <v>0</v>
      </c>
      <c r="O103" s="162">
        <f>SUMIFS('Plan prihoda za unos u SAP'!$I$3:$I$501,'Plan prihoda za unos u SAP'!$C$3:$C$501,"=71",'Plan prihoda za unos u SAP'!$K$3:$K$501,"=723")</f>
        <v>0</v>
      </c>
      <c r="P103" s="162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328</v>
      </c>
      <c r="B104" s="101" t="s">
        <v>329</v>
      </c>
      <c r="C104" s="71">
        <f t="shared" si="27"/>
        <v>0</v>
      </c>
      <c r="D104" s="162">
        <f>SUMIFS('Plan prihoda za unos u SAP'!$I$3:$I$501,'Plan prihoda za unos u SAP'!$C$3:$C$501,"=11",'Plan prihoda za unos u SAP'!$K$3:$K$501,"=725")</f>
        <v>0</v>
      </c>
      <c r="E104" s="162">
        <f>SUMIFS('Plan prihoda za unos u SAP'!$I$3:$I$501,'Plan prihoda za unos u SAP'!$C$3:$C$501,"=12",'Plan prihoda za unos u SAP'!$K$3:$K$501,"=725")</f>
        <v>0</v>
      </c>
      <c r="F104" s="162">
        <f>SUMIFS('Plan prihoda za unos u SAP'!$I$3:$I$501,'Plan prihoda za unos u SAP'!$C$3:$C$501,"=31",'Plan prihoda za unos u SAP'!$K$3:$K$501,"=725")</f>
        <v>0</v>
      </c>
      <c r="G104" s="162">
        <f>SUMIFS('Plan prihoda za unos u SAP'!$I$3:$I$501,'Plan prihoda za unos u SAP'!$C$3:$C$501,"=43",'Plan prihoda za unos u SAP'!$K$3:$K$501,"=725")</f>
        <v>0</v>
      </c>
      <c r="H104" s="162">
        <f>SUMIFS('Plan prihoda za unos u SAP'!$I$3:$I$501,'Plan prihoda za unos u SAP'!$C$3:$C$501,"=51",'Plan prihoda za unos u SAP'!$K$3:$K$501,"=725")</f>
        <v>0</v>
      </c>
      <c r="I104" s="162">
        <f>SUMIFS('Plan prihoda za unos u SAP'!$I$3:$I$501,'Plan prihoda za unos u SAP'!$C$3:$C$501,"=52",'Plan prihoda za unos u SAP'!$K$3:$K$501,"=725")</f>
        <v>0</v>
      </c>
      <c r="J104" s="162">
        <f>SUMIFS('Plan prihoda za unos u SAP'!$I$3:$I$501,'Plan prihoda za unos u SAP'!$C$3:$C$501,"=559",'Plan prihoda za unos u SAP'!$K$3:$K$501,"=725")</f>
        <v>0</v>
      </c>
      <c r="K104" s="162">
        <f>SUMIFS('Plan prihoda za unos u SAP'!$I$3:$I$501,'Plan prihoda za unos u SAP'!$C$3:$C$501,"=561",'Plan prihoda za unos u SAP'!$K$3:$K$501,"=725")</f>
        <v>0</v>
      </c>
      <c r="L104" s="162">
        <f>SUMIFS('Plan prihoda za unos u SAP'!$I$3:$I$501,'Plan prihoda za unos u SAP'!$C$3:$C$501,"=563",'Plan prihoda za unos u SAP'!$K$3:$K$501,"=725")</f>
        <v>0</v>
      </c>
      <c r="M104" s="162">
        <f>SUMIFS('Plan prihoda za unos u SAP'!$I$3:$I$501,'Plan prihoda za unos u SAP'!$C$3:$C$501,"=61",'Plan prihoda za unos u SAP'!$K$3:$K$501,"=725")</f>
        <v>0</v>
      </c>
      <c r="N104" s="162">
        <f>SUMIFS('Plan prihoda za unos u SAP'!$I$3:$I$501,'Plan prihoda za unos u SAP'!$C$3:$C$501,"=63",'Plan prihoda za unos u SAP'!$K$3:$K$501,"=725")</f>
        <v>0</v>
      </c>
      <c r="O104" s="162">
        <f>SUMIFS('Plan prihoda za unos u SAP'!$I$3:$I$501,'Plan prihoda za unos u SAP'!$C$3:$C$501,"=71",'Plan prihoda za unos u SAP'!$K$3:$K$501,"=725")</f>
        <v>0</v>
      </c>
      <c r="P104" s="162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319</v>
      </c>
      <c r="B105" s="100" t="s">
        <v>312</v>
      </c>
      <c r="C105" s="71">
        <f t="shared" si="27"/>
        <v>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320</v>
      </c>
      <c r="C106" s="71">
        <f t="shared" si="27"/>
        <v>0</v>
      </c>
      <c r="D106" s="162">
        <f>SUMIFS('Plan prihoda za unos u SAP'!$I$3:$I$501,'Plan prihoda za unos u SAP'!$C$3:$C$501,"=11",'Plan prihoda za unos u SAP'!$K$3:$K$501,"=812")</f>
        <v>0</v>
      </c>
      <c r="E106" s="162">
        <f>SUMIFS('Plan prihoda za unos u SAP'!$I$3:$I$501,'Plan prihoda za unos u SAP'!$C$3:$C$501,"=12",'Plan prihoda za unos u SAP'!$K$3:$K$501,"=812")</f>
        <v>0</v>
      </c>
      <c r="F106" s="162">
        <f>SUMIFS('Plan prihoda za unos u SAP'!$I$3:$I$501,'Plan prihoda za unos u SAP'!$C$3:$C$501,"=31",'Plan prihoda za unos u SAP'!$K$3:$K$501,"=812")</f>
        <v>0</v>
      </c>
      <c r="G106" s="162">
        <f>SUMIFS('Plan prihoda za unos u SAP'!$I$3:$I$501,'Plan prihoda za unos u SAP'!$C$3:$C$501,"=43",'Plan prihoda za unos u SAP'!$K$3:$K$501,"=812")</f>
        <v>0</v>
      </c>
      <c r="H106" s="162">
        <f>SUMIFS('Plan prihoda za unos u SAP'!$I$3:$I$501,'Plan prihoda za unos u SAP'!$C$3:$C$501,"=51",'Plan prihoda za unos u SAP'!$K$3:$K$501,"=812")</f>
        <v>0</v>
      </c>
      <c r="I106" s="162">
        <f>SUMIFS('Plan prihoda za unos u SAP'!$I$3:$I$501,'Plan prihoda za unos u SAP'!$C$3:$C$501,"=52",'Plan prihoda za unos u SAP'!$K$3:$K$501,"=812")</f>
        <v>0</v>
      </c>
      <c r="J106" s="162">
        <f>SUMIFS('Plan prihoda za unos u SAP'!$I$3:$I$501,'Plan prihoda za unos u SAP'!$C$3:$C$501,"=559",'Plan prihoda za unos u SAP'!$K$3:$K$501,"=812")</f>
        <v>0</v>
      </c>
      <c r="K106" s="162">
        <f>SUMIFS('Plan prihoda za unos u SAP'!$I$3:$I$501,'Plan prihoda za unos u SAP'!$C$3:$C$501,"=561",'Plan prihoda za unos u SAP'!$K$3:$K$501,"=812")</f>
        <v>0</v>
      </c>
      <c r="L106" s="162">
        <f>SUMIFS('Plan prihoda za unos u SAP'!$I$3:$I$501,'Plan prihoda za unos u SAP'!$C$3:$C$501,"=563",'Plan prihoda za unos u SAP'!$K$3:$K$501,"=812")</f>
        <v>0</v>
      </c>
      <c r="M106" s="162">
        <f>SUMIFS('Plan prihoda za unos u SAP'!$I$3:$I$501,'Plan prihoda za unos u SAP'!$C$3:$C$501,"=61",'Plan prihoda za unos u SAP'!$K$3:$K$501,"=812")</f>
        <v>0</v>
      </c>
      <c r="N106" s="162">
        <f>SUMIFS('Plan prihoda za unos u SAP'!$I$3:$I$501,'Plan prihoda za unos u SAP'!$C$3:$C$501,"=63",'Plan prihoda za unos u SAP'!$K$3:$K$501,"=812")</f>
        <v>0</v>
      </c>
      <c r="O106" s="162">
        <f>SUMIFS('Plan prihoda za unos u SAP'!$I$3:$I$501,'Plan prihoda za unos u SAP'!$C$3:$C$501,"=71",'Plan prihoda za unos u SAP'!$K$3:$K$501,"=812")</f>
        <v>0</v>
      </c>
      <c r="P106" s="162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</row>
    <row r="108" spans="1:16" s="91" customFormat="1">
      <c r="A108" s="99" t="s">
        <v>321</v>
      </c>
      <c r="B108" s="100" t="s">
        <v>312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32" t="s">
        <v>322</v>
      </c>
      <c r="B109" s="232"/>
      <c r="C109" s="72">
        <f>SUM(D109:P109)</f>
        <v>80000976.601805151</v>
      </c>
      <c r="D109" s="72">
        <f t="shared" ref="D109:P109" si="31">+D108+D105+D98</f>
        <v>60486646.601805158</v>
      </c>
      <c r="E109" s="72">
        <f t="shared" si="31"/>
        <v>1267520</v>
      </c>
      <c r="F109" s="72">
        <f t="shared" si="31"/>
        <v>1240590</v>
      </c>
      <c r="G109" s="72">
        <f t="shared" si="31"/>
        <v>7997661</v>
      </c>
      <c r="H109" s="72">
        <f t="shared" si="31"/>
        <v>0</v>
      </c>
      <c r="I109" s="72">
        <f t="shared" si="31"/>
        <v>1012000</v>
      </c>
      <c r="J109" s="72">
        <f t="shared" si="31"/>
        <v>0</v>
      </c>
      <c r="K109" s="72">
        <f t="shared" si="31"/>
        <v>0</v>
      </c>
      <c r="L109" s="72">
        <f t="shared" si="31"/>
        <v>7182618</v>
      </c>
      <c r="M109" s="72">
        <f t="shared" si="31"/>
        <v>813941</v>
      </c>
      <c r="N109" s="72">
        <f t="shared" si="31"/>
        <v>0</v>
      </c>
      <c r="O109" s="72">
        <f t="shared" si="31"/>
        <v>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selectLockedCells="1"/>
  <mergeCells count="10">
    <mergeCell ref="A1:P1"/>
    <mergeCell ref="A3:B3"/>
    <mergeCell ref="C3:P3"/>
    <mergeCell ref="A37:B37"/>
    <mergeCell ref="A73:B73"/>
    <mergeCell ref="A75:B75"/>
    <mergeCell ref="C75:P75"/>
    <mergeCell ref="A109:B109"/>
    <mergeCell ref="A39:B39"/>
    <mergeCell ref="C39:P39"/>
  </mergeCells>
  <phoneticPr fontId="31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pageSetUpPr fitToPage="1"/>
  </sheetPr>
  <dimension ref="A1:IV3684"/>
  <sheetViews>
    <sheetView showGridLines="0" zoomScale="80" zoomScaleNormal="80" zoomScaleSheetLayoutView="80" workbookViewId="0">
      <pane xSplit="3" ySplit="3" topLeftCell="H70" activePane="bottomRight" state="frozen"/>
      <selection pane="topRight" activeCell="D1" sqref="D1"/>
      <selection pane="bottomLeft" activeCell="A4" sqref="A4"/>
      <selection pane="bottomRight" activeCell="R87" sqref="R87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7.570312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34" t="s">
        <v>405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</row>
    <row r="2" spans="1:256" s="75" customFormat="1" ht="87.75" customHeight="1">
      <c r="A2" s="94" t="s">
        <v>198</v>
      </c>
      <c r="B2" s="94" t="s">
        <v>199</v>
      </c>
      <c r="C2" s="2" t="s">
        <v>1225</v>
      </c>
      <c r="D2" s="2" t="s">
        <v>35</v>
      </c>
      <c r="E2" s="2" t="s">
        <v>331</v>
      </c>
      <c r="F2" s="94" t="s">
        <v>2</v>
      </c>
      <c r="G2" s="94" t="s">
        <v>3</v>
      </c>
      <c r="H2" s="94" t="s">
        <v>279</v>
      </c>
      <c r="I2" s="94" t="s">
        <v>280</v>
      </c>
      <c r="J2" s="94" t="s">
        <v>281</v>
      </c>
      <c r="K2" s="94" t="s">
        <v>282</v>
      </c>
      <c r="L2" s="94" t="s">
        <v>283</v>
      </c>
      <c r="M2" s="94" t="s">
        <v>284</v>
      </c>
      <c r="N2" s="94" t="s">
        <v>285</v>
      </c>
      <c r="O2" s="94" t="s">
        <v>1224</v>
      </c>
      <c r="P2" s="94" t="s">
        <v>1222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363</v>
      </c>
      <c r="C3" s="122">
        <f>SUM(D3:P3)</f>
        <v>178642187.54261488</v>
      </c>
      <c r="D3" s="123">
        <f t="shared" ref="D3:P3" si="0">D4+D38+D58</f>
        <v>57137099.542614892</v>
      </c>
      <c r="E3" s="123">
        <f t="shared" si="0"/>
        <v>23000913</v>
      </c>
      <c r="F3" s="123">
        <f t="shared" si="0"/>
        <v>1250150</v>
      </c>
      <c r="G3" s="123">
        <f t="shared" si="0"/>
        <v>11698802</v>
      </c>
      <c r="H3" s="123">
        <f t="shared" si="0"/>
        <v>0</v>
      </c>
      <c r="I3" s="123">
        <f t="shared" si="0"/>
        <v>8924681</v>
      </c>
      <c r="J3" s="123">
        <f t="shared" si="0"/>
        <v>0</v>
      </c>
      <c r="K3" s="123">
        <f t="shared" si="0"/>
        <v>0</v>
      </c>
      <c r="L3" s="123">
        <f t="shared" si="0"/>
        <v>75839669</v>
      </c>
      <c r="M3" s="123">
        <f t="shared" si="0"/>
        <v>790873</v>
      </c>
      <c r="N3" s="123">
        <f t="shared" si="0"/>
        <v>0</v>
      </c>
      <c r="O3" s="123">
        <f t="shared" si="0"/>
        <v>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201</v>
      </c>
      <c r="C4" s="126">
        <f>ROUND(SUM(D4:P4),0)</f>
        <v>81316918</v>
      </c>
      <c r="D4" s="127">
        <f>D5+D9+D15+D19+D23+D30+D33</f>
        <v>54234348.542614892</v>
      </c>
      <c r="E4" s="127">
        <f t="shared" ref="E4:P4" si="1">E5+E9+E15+E19+E23+E30+E33</f>
        <v>1186969</v>
      </c>
      <c r="F4" s="127">
        <f t="shared" si="1"/>
        <v>1215150</v>
      </c>
      <c r="G4" s="127">
        <f t="shared" si="1"/>
        <v>8811802</v>
      </c>
      <c r="H4" s="127">
        <f t="shared" si="1"/>
        <v>0</v>
      </c>
      <c r="I4" s="127">
        <f t="shared" si="1"/>
        <v>8924681</v>
      </c>
      <c r="J4" s="127">
        <f t="shared" si="1"/>
        <v>0</v>
      </c>
      <c r="K4" s="127">
        <f t="shared" si="1"/>
        <v>0</v>
      </c>
      <c r="L4" s="127">
        <f t="shared" si="1"/>
        <v>6726156</v>
      </c>
      <c r="M4" s="127">
        <f t="shared" si="1"/>
        <v>217811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202</v>
      </c>
      <c r="C5" s="79">
        <f t="shared" ref="C5:C57" si="2">ROUND(SUM(D5:P5),0)</f>
        <v>44954453</v>
      </c>
      <c r="D5" s="13">
        <f>SUM(D6:D8)</f>
        <v>42894396.453923099</v>
      </c>
      <c r="E5" s="13">
        <f t="shared" ref="E5:P5" si="3">SUM(E6:E8)</f>
        <v>63000</v>
      </c>
      <c r="F5" s="13">
        <f t="shared" si="3"/>
        <v>832500</v>
      </c>
      <c r="G5" s="13">
        <f t="shared" si="3"/>
        <v>718175</v>
      </c>
      <c r="H5" s="13">
        <f t="shared" si="3"/>
        <v>0</v>
      </c>
      <c r="I5" s="13">
        <f t="shared" si="3"/>
        <v>0</v>
      </c>
      <c r="J5" s="13">
        <f t="shared" si="3"/>
        <v>0</v>
      </c>
      <c r="K5" s="13">
        <f t="shared" si="3"/>
        <v>0</v>
      </c>
      <c r="L5" s="13">
        <f t="shared" si="3"/>
        <v>357000</v>
      </c>
      <c r="M5" s="13">
        <f t="shared" si="3"/>
        <v>89382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232</v>
      </c>
      <c r="C6" s="78">
        <f>ROUND(SUM(D6:P6),0)</f>
        <v>37104479</v>
      </c>
      <c r="D6" s="143">
        <f>SUMIFS('Plan rashoda za unos u SAP'!$I$3:$I$501,'Plan rashoda za unos u SAP'!$C$3:$C$501,"=11",'Plan rashoda za unos u SAP'!$M$3:$M$501,"=311")</f>
        <v>36011582.453923099</v>
      </c>
      <c r="E6" s="143">
        <f>SUMIFS('Plan rashoda za unos u SAP'!$I$3:$I$501,'Plan rashoda za unos u SAP'!$C$3:$C$501,"=12",'Plan rashoda za unos u SAP'!$M$3:$M$501,"=311")</f>
        <v>54077</v>
      </c>
      <c r="F6" s="143">
        <f>SUMIFS('Plan rashoda za unos u SAP'!$I$3:$I$501,'Plan rashoda za unos u SAP'!$C$3:$C$501,"=31",'Plan rashoda za unos u SAP'!$M$3:$M$501,"=311")</f>
        <v>210000</v>
      </c>
      <c r="G6" s="143">
        <f>SUMIFS('Plan rashoda za unos u SAP'!$I$3:$I$501,'Plan rashoda za unos u SAP'!$C$3:$C$501,"=43",'Plan rashoda za unos u SAP'!$M$3:$M$501,"=311")</f>
        <v>433000</v>
      </c>
      <c r="H6" s="143">
        <f>SUMIFS('Plan rashoda za unos u SAP'!$I$3:$I$501,'Plan rashoda za unos u SAP'!$C$3:$C$501,"=51",'Plan rashoda za unos u SAP'!$M$3:$M$501,"=311")</f>
        <v>0</v>
      </c>
      <c r="I6" s="143">
        <f>SUMIFS('Plan rashoda za unos u SAP'!$I$3:$I$501,'Plan rashoda za unos u SAP'!$C$3:$C$501,"=52",'Plan rashoda za unos u SAP'!$M$3:$M$501,"=311")</f>
        <v>0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0</v>
      </c>
      <c r="L6" s="143">
        <f>SUMIFS('Plan rashoda za unos u SAP'!$I$3:$I$501,'Plan rashoda za unos u SAP'!$C$3:$C$501,"=563",'Plan rashoda za unos u SAP'!$M$3:$M$501,"=311")</f>
        <v>306438</v>
      </c>
      <c r="M6" s="143">
        <f>SUMIFS('Plan rashoda za unos u SAP'!$I$3:$I$501,'Plan rashoda za unos u SAP'!$C$3:$C$501,"=61",'Plan rashoda za unos u SAP'!$M$3:$M$501,"=311")</f>
        <v>89382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52</v>
      </c>
      <c r="C7" s="15">
        <f t="shared" si="2"/>
        <v>2018350</v>
      </c>
      <c r="D7" s="143">
        <f>SUMIFS('Plan rashoda za unos u SAP'!$I$3:$I$501,'Plan rashoda za unos u SAP'!$C$3:$C$501,"=11",'Plan rashoda za unos u SAP'!$M$3:$M$501,"=312")</f>
        <v>1195850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587500</v>
      </c>
      <c r="G7" s="143">
        <f>SUMIFS('Plan rashoda za unos u SAP'!$I$3:$I$501,'Plan rashoda za unos u SAP'!$C$3:$C$501,"=43",'Plan rashoda za unos u SAP'!$M$3:$M$501,"=312")</f>
        <v>235000</v>
      </c>
      <c r="H7" s="143">
        <f>SUMIFS('Plan rashoda za unos u SAP'!$I$3:$I$501,'Plan rashoda za unos u SAP'!$C$3:$C$501,"=51",'Plan rashoda za unos u SAP'!$M$3:$M$501,"=312")</f>
        <v>0</v>
      </c>
      <c r="I7" s="143">
        <f>SUMIFS('Plan rashoda za unos u SAP'!$I$3:$I$501,'Plan rashoda za unos u SAP'!$C$3:$C$501,"=52",'Plan rashoda za unos u SAP'!$M$3:$M$501,"=312")</f>
        <v>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268</v>
      </c>
      <c r="C8" s="15">
        <f t="shared" si="2"/>
        <v>5831624</v>
      </c>
      <c r="D8" s="143">
        <f>SUMIFS('Plan rashoda za unos u SAP'!$I$3:$I$501,'Plan rashoda za unos u SAP'!$C$3:$C$501,"=11",'Plan rashoda za unos u SAP'!$M$3:$M$501,"=313")</f>
        <v>5686964</v>
      </c>
      <c r="E8" s="143">
        <f>SUMIFS('Plan rashoda za unos u SAP'!$I$3:$I$501,'Plan rashoda za unos u SAP'!$C$3:$C$501,"=12",'Plan rashoda za unos u SAP'!$M$3:$M$501,"=313")</f>
        <v>8923</v>
      </c>
      <c r="F8" s="143">
        <f>SUMIFS('Plan rashoda za unos u SAP'!$I$3:$I$501,'Plan rashoda za unos u SAP'!$C$3:$C$501,"=31",'Plan rashoda za unos u SAP'!$M$3:$M$501,"=313")</f>
        <v>35000</v>
      </c>
      <c r="G8" s="143">
        <f>SUMIFS('Plan rashoda za unos u SAP'!$I$3:$I$501,'Plan rashoda za unos u SAP'!$C$3:$C$501,"=43",'Plan rashoda za unos u SAP'!$M$3:$M$501,"=313")</f>
        <v>50175</v>
      </c>
      <c r="H8" s="143">
        <f>SUMIFS('Plan rashoda za unos u SAP'!$I$3:$I$501,'Plan rashoda za unos u SAP'!$C$3:$C$501,"=51",'Plan rashoda za unos u SAP'!$M$3:$M$501,"=313")</f>
        <v>0</v>
      </c>
      <c r="I8" s="143">
        <f>SUMIFS('Plan rashoda za unos u SAP'!$I$3:$I$501,'Plan rashoda za unos u SAP'!$C$3:$C$501,"=52",'Plan rashoda za unos u SAP'!$M$3:$M$501,"=313")</f>
        <v>0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0</v>
      </c>
      <c r="L8" s="143">
        <f>SUMIFS('Plan rashoda za unos u SAP'!$I$3:$I$501,'Plan rashoda za unos u SAP'!$C$3:$C$501,"=563",'Plan rashoda za unos u SAP'!$M$3:$M$501,"=313")</f>
        <v>50562</v>
      </c>
      <c r="M8" s="143">
        <f>SUMIFS('Plan rashoda za unos u SAP'!$I$3:$I$501,'Plan rashoda za unos u SAP'!$C$3:$C$501,"=61",'Plan rashoda za unos u SAP'!$M$3:$M$501,"=313")</f>
        <v>0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203</v>
      </c>
      <c r="C9" s="4">
        <f t="shared" si="2"/>
        <v>20162109</v>
      </c>
      <c r="D9" s="79">
        <f t="shared" ref="D9:P9" si="4">SUM(D10:D14)</f>
        <v>9796406.0886917897</v>
      </c>
      <c r="E9" s="79">
        <f t="shared" si="4"/>
        <v>349585</v>
      </c>
      <c r="F9" s="79">
        <f t="shared" si="4"/>
        <v>354800</v>
      </c>
      <c r="G9" s="79">
        <f t="shared" si="4"/>
        <v>7027227</v>
      </c>
      <c r="H9" s="79">
        <f t="shared" si="4"/>
        <v>0</v>
      </c>
      <c r="I9" s="79">
        <f t="shared" si="4"/>
        <v>524681</v>
      </c>
      <c r="J9" s="79">
        <f t="shared" si="4"/>
        <v>0</v>
      </c>
      <c r="K9" s="79">
        <f t="shared" si="4"/>
        <v>0</v>
      </c>
      <c r="L9" s="79">
        <f t="shared" si="4"/>
        <v>1980981</v>
      </c>
      <c r="M9" s="79">
        <f t="shared" si="4"/>
        <v>128429</v>
      </c>
      <c r="N9" s="79">
        <f t="shared" si="4"/>
        <v>0</v>
      </c>
      <c r="O9" s="79">
        <f t="shared" si="4"/>
        <v>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204</v>
      </c>
      <c r="C10" s="15">
        <f t="shared" si="2"/>
        <v>3299002</v>
      </c>
      <c r="D10" s="143">
        <f>SUMIFS('Plan rashoda za unos u SAP'!$I$3:$I$501,'Plan rashoda za unos u SAP'!$C$3:$C$501,"=11",'Plan rashoda za unos u SAP'!$M$3:$M$501,"=321")</f>
        <v>1954936</v>
      </c>
      <c r="E10" s="143">
        <f>SUMIFS('Plan rashoda za unos u SAP'!$I$3:$I$501,'Plan rashoda za unos u SAP'!$C$3:$C$501,"=12",'Plan rashoda za unos u SAP'!$M$3:$M$501,"=321")</f>
        <v>75000</v>
      </c>
      <c r="F10" s="143">
        <f>SUMIFS('Plan rashoda za unos u SAP'!$I$3:$I$501,'Plan rashoda za unos u SAP'!$C$3:$C$501,"=31",'Plan rashoda za unos u SAP'!$M$3:$M$501,"=321")</f>
        <v>151500</v>
      </c>
      <c r="G10" s="143">
        <f>SUMIFS('Plan rashoda za unos u SAP'!$I$3:$I$501,'Plan rashoda za unos u SAP'!$C$3:$C$501,"=43",'Plan rashoda za unos u SAP'!$M$3:$M$501,"=321")</f>
        <v>455478</v>
      </c>
      <c r="H10" s="143">
        <f>SUMIFS('Plan rashoda za unos u SAP'!$I$3:$I$501,'Plan rashoda za unos u SAP'!$C$3:$C$501,"=51",'Plan rashoda za unos u SAP'!$M$3:$M$501,"=321")</f>
        <v>0</v>
      </c>
      <c r="I10" s="143">
        <f>SUMIFS('Plan rashoda za unos u SAP'!$I$3:$I$501,'Plan rashoda za unos u SAP'!$C$3:$C$501,"=52",'Plan rashoda za unos u SAP'!$M$3:$M$501,"=321")</f>
        <v>174048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0</v>
      </c>
      <c r="L10" s="143">
        <f>SUMIFS('Plan rashoda za unos u SAP'!$I$3:$I$501,'Plan rashoda za unos u SAP'!$C$3:$C$501,"=563",'Plan rashoda za unos u SAP'!$M$3:$M$501,"=321")</f>
        <v>425000</v>
      </c>
      <c r="M10" s="143">
        <f>SUMIFS('Plan rashoda za unos u SAP'!$I$3:$I$501,'Plan rashoda za unos u SAP'!$C$3:$C$501,"=61",'Plan rashoda za unos u SAP'!$M$3:$M$501,"=321")</f>
        <v>63040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205</v>
      </c>
      <c r="C11" s="15">
        <f t="shared" si="2"/>
        <v>3417425</v>
      </c>
      <c r="D11" s="143">
        <f>SUMIFS('Plan rashoda za unos u SAP'!$I$3:$I$501,'Plan rashoda za unos u SAP'!$C$3:$C$501,"=11",'Plan rashoda za unos u SAP'!$M$3:$M$501,"=322")</f>
        <v>1706541</v>
      </c>
      <c r="E11" s="143">
        <f>SUMIFS('Plan rashoda za unos u SAP'!$I$3:$I$501,'Plan rashoda za unos u SAP'!$C$3:$C$501,"=12",'Plan rashoda za unos u SAP'!$M$3:$M$501,"=322")</f>
        <v>150000</v>
      </c>
      <c r="F11" s="143">
        <f>SUMIFS('Plan rashoda za unos u SAP'!$I$3:$I$501,'Plan rashoda za unos u SAP'!$C$3:$C$501,"=31",'Plan rashoda za unos u SAP'!$M$3:$M$501,"=322")</f>
        <v>29500</v>
      </c>
      <c r="G11" s="143">
        <f>SUMIFS('Plan rashoda za unos u SAP'!$I$3:$I$501,'Plan rashoda za unos u SAP'!$C$3:$C$501,"=43",'Plan rashoda za unos u SAP'!$M$3:$M$501,"=322")</f>
        <v>606384</v>
      </c>
      <c r="H11" s="143">
        <f>SUMIFS('Plan rashoda za unos u SAP'!$I$3:$I$501,'Plan rashoda za unos u SAP'!$C$3:$C$501,"=51",'Plan rashoda za unos u SAP'!$M$3:$M$501,"=322")</f>
        <v>0</v>
      </c>
      <c r="I11" s="143">
        <f>SUMIFS('Plan rashoda za unos u SAP'!$I$3:$I$501,'Plan rashoda za unos u SAP'!$C$3:$C$501,"=52",'Plan rashoda za unos u SAP'!$M$3:$M$501,"=322")</f>
        <v>25000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0</v>
      </c>
      <c r="L11" s="143">
        <f>SUMIFS('Plan rashoda za unos u SAP'!$I$3:$I$501,'Plan rashoda za unos u SAP'!$C$3:$C$501,"=563",'Plan rashoda za unos u SAP'!$M$3:$M$501,"=322")</f>
        <v>850000</v>
      </c>
      <c r="M11" s="143">
        <f>SUMIFS('Plan rashoda za unos u SAP'!$I$3:$I$501,'Plan rashoda za unos u SAP'!$C$3:$C$501,"=61",'Plan rashoda za unos u SAP'!$M$3:$M$501,"=322")</f>
        <v>50000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206</v>
      </c>
      <c r="C12" s="15">
        <f t="shared" si="2"/>
        <v>7726242</v>
      </c>
      <c r="D12" s="143">
        <f>SUMIFS('Plan rashoda za unos u SAP'!$I$3:$I$501,'Plan rashoda za unos u SAP'!$C$3:$C$501,"=11",'Plan rashoda za unos u SAP'!$M$3:$M$501,"=323")</f>
        <v>4040161.0886917897</v>
      </c>
      <c r="E12" s="143">
        <f>SUMIFS('Plan rashoda za unos u SAP'!$I$3:$I$501,'Plan rashoda za unos u SAP'!$C$3:$C$501,"=12",'Plan rashoda za unos u SAP'!$M$3:$M$501,"=323")</f>
        <v>124585</v>
      </c>
      <c r="F12" s="143">
        <f>SUMIFS('Plan rashoda za unos u SAP'!$I$3:$I$501,'Plan rashoda za unos u SAP'!$C$3:$C$501,"=31",'Plan rashoda za unos u SAP'!$M$3:$M$501,"=323")</f>
        <v>64600</v>
      </c>
      <c r="G12" s="143">
        <f>SUMIFS('Plan rashoda za unos u SAP'!$I$3:$I$501,'Plan rashoda za unos u SAP'!$C$3:$C$501,"=43",'Plan rashoda za unos u SAP'!$M$3:$M$501,"=323")</f>
        <v>2540915</v>
      </c>
      <c r="H12" s="143">
        <f>SUMIFS('Plan rashoda za unos u SAP'!$I$3:$I$501,'Plan rashoda za unos u SAP'!$C$3:$C$501,"=51",'Plan rashoda za unos u SAP'!$M$3:$M$501,"=323")</f>
        <v>0</v>
      </c>
      <c r="I12" s="143">
        <f>SUMIFS('Plan rashoda za unos u SAP'!$I$3:$I$501,'Plan rashoda za unos u SAP'!$C$3:$C$501,"=52",'Plan rashoda za unos u SAP'!$M$3:$M$501,"=323")</f>
        <v>250000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0</v>
      </c>
      <c r="L12" s="143">
        <f>SUMIFS('Plan rashoda za unos u SAP'!$I$3:$I$501,'Plan rashoda za unos u SAP'!$C$3:$C$501,"=563",'Plan rashoda za unos u SAP'!$M$3:$M$501,"=323")</f>
        <v>705981</v>
      </c>
      <c r="M12" s="143">
        <f>SUMIFS('Plan rashoda za unos u SAP'!$I$3:$I$501,'Plan rashoda za unos u SAP'!$C$3:$C$501,"=61",'Plan rashoda za unos u SAP'!$M$3:$M$501,"=323")</f>
        <v>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82</v>
      </c>
      <c r="C13" s="15">
        <f t="shared" si="2"/>
        <v>661600</v>
      </c>
      <c r="D13" s="143">
        <f>SUMIFS('Plan rashoda za unos u SAP'!$I$3:$I$501,'Plan rashoda za unos u SAP'!$C$3:$C$501,"=11",'Plan rashoda za unos u SAP'!$M$3:$M$501,"=324")</f>
        <v>99500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1800</v>
      </c>
      <c r="G13" s="143">
        <f>SUMIFS('Plan rashoda za unos u SAP'!$I$3:$I$501,'Plan rashoda za unos u SAP'!$C$3:$C$501,"=43",'Plan rashoda za unos u SAP'!$M$3:$M$501,"=324")</f>
        <v>548300</v>
      </c>
      <c r="H13" s="143">
        <f>SUMIFS('Plan rashoda za unos u SAP'!$I$3:$I$501,'Plan rashoda za unos u SAP'!$C$3:$C$501,"=51",'Plan rashoda za unos u SAP'!$M$3:$M$501,"=324")</f>
        <v>0</v>
      </c>
      <c r="I13" s="143">
        <f>SUMIFS('Plan rashoda za unos u SAP'!$I$3:$I$501,'Plan rashoda za unos u SAP'!$C$3:$C$501,"=52",'Plan rashoda za unos u SAP'!$M$3:$M$501,"=324")</f>
        <v>12000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59</v>
      </c>
      <c r="C14" s="15">
        <f t="shared" si="2"/>
        <v>5057840</v>
      </c>
      <c r="D14" s="143">
        <f>SUMIFS('Plan rashoda za unos u SAP'!$I$3:$I$501,'Plan rashoda za unos u SAP'!$C$3:$C$501,"=11",'Plan rashoda za unos u SAP'!$M$3:$M$501,"=329")</f>
        <v>1995268</v>
      </c>
      <c r="E14" s="143">
        <f>SUMIFS('Plan rashoda za unos u SAP'!$I$3:$I$501,'Plan rashoda za unos u SAP'!$C$3:$C$501,"=12",'Plan rashoda za unos u SAP'!$M$3:$M$501,"=329")</f>
        <v>0</v>
      </c>
      <c r="F14" s="143">
        <f>SUMIFS('Plan rashoda za unos u SAP'!$I$3:$I$501,'Plan rashoda za unos u SAP'!$C$3:$C$501,"=31",'Plan rashoda za unos u SAP'!$M$3:$M$501,"=329")</f>
        <v>107400</v>
      </c>
      <c r="G14" s="143">
        <f>SUMIFS('Plan rashoda za unos u SAP'!$I$3:$I$501,'Plan rashoda za unos u SAP'!$C$3:$C$501,"=43",'Plan rashoda za unos u SAP'!$M$3:$M$501,"=329")</f>
        <v>2876150</v>
      </c>
      <c r="H14" s="143">
        <f>SUMIFS('Plan rashoda za unos u SAP'!$I$3:$I$501,'Plan rashoda za unos u SAP'!$C$3:$C$501,"=51",'Plan rashoda za unos u SAP'!$M$3:$M$501,"=329")</f>
        <v>0</v>
      </c>
      <c r="I14" s="143">
        <f>SUMIFS('Plan rashoda za unos u SAP'!$I$3:$I$501,'Plan rashoda za unos u SAP'!$C$3:$C$501,"=52",'Plan rashoda za unos u SAP'!$M$3:$M$501,"=329")</f>
        <v>63633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0</v>
      </c>
      <c r="L14" s="143">
        <f>SUMIFS('Plan rashoda za unos u SAP'!$I$3:$I$501,'Plan rashoda za unos u SAP'!$C$3:$C$501,"=563",'Plan rashoda za unos u SAP'!$M$3:$M$501,"=329")</f>
        <v>0</v>
      </c>
      <c r="M14" s="143">
        <f>SUMIFS('Plan rashoda za unos u SAP'!$I$3:$I$501,'Plan rashoda za unos u SAP'!$C$3:$C$501,"=61",'Plan rashoda za unos u SAP'!$M$3:$M$501,"=329")</f>
        <v>15389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207</v>
      </c>
      <c r="C15" s="4">
        <f t="shared" si="2"/>
        <v>108796</v>
      </c>
      <c r="D15" s="4">
        <f t="shared" ref="D15:P15" si="5">SUM(D16:D18)</f>
        <v>93546</v>
      </c>
      <c r="E15" s="4">
        <f t="shared" si="5"/>
        <v>0</v>
      </c>
      <c r="F15" s="4">
        <f t="shared" si="5"/>
        <v>2850</v>
      </c>
      <c r="G15" s="4">
        <f t="shared" si="5"/>
        <v>12400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332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333</v>
      </c>
      <c r="C17" s="15">
        <f t="shared" si="2"/>
        <v>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208</v>
      </c>
      <c r="C18" s="15">
        <f t="shared" si="2"/>
        <v>108796</v>
      </c>
      <c r="D18" s="143">
        <f>SUMIFS('Plan rashoda za unos u SAP'!$I$3:$I$501,'Plan rashoda za unos u SAP'!$C$3:$C$501,"=11",'Plan rashoda za unos u SAP'!$M$3:$M$501,"=343")</f>
        <v>93546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2850</v>
      </c>
      <c r="G18" s="143">
        <f>SUMIFS('Plan rashoda za unos u SAP'!$I$3:$I$501,'Plan rashoda za unos u SAP'!$C$3:$C$501,"=43",'Plan rashoda za unos u SAP'!$M$3:$M$501,"=343")</f>
        <v>12400</v>
      </c>
      <c r="H18" s="143">
        <f>SUMIFS('Plan rashoda za unos u SAP'!$I$3:$I$501,'Plan rashoda za unos u SAP'!$C$3:$C$501,"=51",'Plan rashoda za unos u SAP'!$M$3:$M$501,"=343")</f>
        <v>0</v>
      </c>
      <c r="I18" s="143">
        <f>SUMIFS('Plan rashoda za unos u SAP'!$I$3:$I$501,'Plan rashoda za unos u SAP'!$C$3:$C$501,"=52",'Plan rashoda za unos u SAP'!$M$3:$M$501,"=343")</f>
        <v>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334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184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335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336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209</v>
      </c>
      <c r="C23" s="4">
        <f t="shared" si="2"/>
        <v>8382559</v>
      </c>
      <c r="D23" s="79">
        <f t="shared" ref="D23:P23" si="7">SUM(D24:D29)</f>
        <v>0</v>
      </c>
      <c r="E23" s="79">
        <f t="shared" si="7"/>
        <v>774384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3220000</v>
      </c>
      <c r="J23" s="79">
        <f t="shared" si="7"/>
        <v>0</v>
      </c>
      <c r="K23" s="79">
        <f t="shared" si="7"/>
        <v>0</v>
      </c>
      <c r="L23" s="79">
        <f t="shared" si="7"/>
        <v>4388175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337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338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339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340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294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36</v>
      </c>
      <c r="C29" s="15">
        <f t="shared" si="2"/>
        <v>8382559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774384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3220000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4388175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341</v>
      </c>
      <c r="C30" s="4">
        <f t="shared" si="2"/>
        <v>7684000</v>
      </c>
      <c r="D30" s="4">
        <f t="shared" ref="D30:P30" si="8">SUM(D31:D32)</f>
        <v>1450000</v>
      </c>
      <c r="E30" s="4">
        <f t="shared" si="8"/>
        <v>0</v>
      </c>
      <c r="F30" s="4">
        <f t="shared" si="8"/>
        <v>0</v>
      </c>
      <c r="G30" s="4">
        <f t="shared" si="8"/>
        <v>1054000</v>
      </c>
      <c r="H30" s="4">
        <f t="shared" si="8"/>
        <v>0</v>
      </c>
      <c r="I30" s="4">
        <f t="shared" si="8"/>
        <v>5180000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342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210</v>
      </c>
      <c r="C32" s="15">
        <f t="shared" si="2"/>
        <v>7684000</v>
      </c>
      <c r="D32" s="143">
        <f>SUMIFS('Plan rashoda za unos u SAP'!$I$3:$I$501,'Plan rashoda za unos u SAP'!$C$3:$C$501,"=11",'Plan rashoda za unos u SAP'!$M$3:$M$501,"=372")</f>
        <v>1450000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0</v>
      </c>
      <c r="G32" s="143">
        <f>SUMIFS('Plan rashoda za unos u SAP'!$I$3:$I$501,'Plan rashoda za unos u SAP'!$C$3:$C$501,"=43",'Plan rashoda za unos u SAP'!$M$3:$M$501,"=372")</f>
        <v>1054000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5180000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211</v>
      </c>
      <c r="C33" s="4">
        <f t="shared" si="2"/>
        <v>25000</v>
      </c>
      <c r="D33" s="4">
        <f t="shared" ref="D33:P33" si="9">SUM(D34:D37)</f>
        <v>0</v>
      </c>
      <c r="E33" s="4">
        <f t="shared" si="9"/>
        <v>0</v>
      </c>
      <c r="F33" s="4">
        <f t="shared" si="9"/>
        <v>25000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212</v>
      </c>
      <c r="C34" s="15">
        <f t="shared" si="2"/>
        <v>25000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25000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343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344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345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213</v>
      </c>
      <c r="C38" s="128">
        <f>ROUND(SUM(D38:P38),0)</f>
        <v>97325270</v>
      </c>
      <c r="D38" s="128">
        <f>D42+D49+D51+D53+D39</f>
        <v>2902751</v>
      </c>
      <c r="E38" s="128">
        <f t="shared" ref="E38:P38" si="10">E42+E49+E51+E53+E39</f>
        <v>21813944</v>
      </c>
      <c r="F38" s="128">
        <f t="shared" si="10"/>
        <v>35000</v>
      </c>
      <c r="G38" s="128">
        <f t="shared" si="10"/>
        <v>2887000</v>
      </c>
      <c r="H38" s="128">
        <f t="shared" si="10"/>
        <v>0</v>
      </c>
      <c r="I38" s="128">
        <f t="shared" si="10"/>
        <v>0</v>
      </c>
      <c r="J38" s="128">
        <f t="shared" si="10"/>
        <v>0</v>
      </c>
      <c r="K38" s="128">
        <f t="shared" si="10"/>
        <v>0</v>
      </c>
      <c r="L38" s="128">
        <f t="shared" si="10"/>
        <v>69113513</v>
      </c>
      <c r="M38" s="128">
        <f t="shared" si="10"/>
        <v>573062</v>
      </c>
      <c r="N38" s="128">
        <f t="shared" si="10"/>
        <v>0</v>
      </c>
      <c r="O38" s="128">
        <f t="shared" si="10"/>
        <v>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346</v>
      </c>
      <c r="C39" s="4">
        <f t="shared" si="2"/>
        <v>100000</v>
      </c>
      <c r="D39" s="13">
        <f t="shared" ref="D39:P39" si="11">SUM(D40:D41)</f>
        <v>100000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347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348</v>
      </c>
      <c r="C41" s="15">
        <f t="shared" si="2"/>
        <v>100000</v>
      </c>
      <c r="D41" s="143">
        <f>SUMIFS('Plan rashoda za unos u SAP'!$I$3:$I$501,'Plan rashoda za unos u SAP'!$C$3:$C$501,"=11",'Plan rashoda za unos u SAP'!$M$3:$M$501,"=412")</f>
        <v>100000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267</v>
      </c>
      <c r="C42" s="4">
        <f t="shared" si="2"/>
        <v>93870270</v>
      </c>
      <c r="D42" s="4">
        <f t="shared" ref="D42:P42" si="12">SUM(D43:D48)</f>
        <v>697751</v>
      </c>
      <c r="E42" s="4">
        <f t="shared" si="12"/>
        <v>21813944</v>
      </c>
      <c r="F42" s="4">
        <f t="shared" si="12"/>
        <v>35000</v>
      </c>
      <c r="G42" s="4">
        <f t="shared" si="12"/>
        <v>1637000</v>
      </c>
      <c r="H42" s="4">
        <f t="shared" si="12"/>
        <v>0</v>
      </c>
      <c r="I42" s="4">
        <f t="shared" si="12"/>
        <v>0</v>
      </c>
      <c r="J42" s="4">
        <f t="shared" si="12"/>
        <v>0</v>
      </c>
      <c r="K42" s="4">
        <f t="shared" si="12"/>
        <v>0</v>
      </c>
      <c r="L42" s="4">
        <f t="shared" si="12"/>
        <v>69113513</v>
      </c>
      <c r="M42" s="4">
        <f t="shared" si="12"/>
        <v>573062</v>
      </c>
      <c r="N42" s="4">
        <f t="shared" si="12"/>
        <v>0</v>
      </c>
      <c r="O42" s="4">
        <f t="shared" si="12"/>
        <v>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214</v>
      </c>
      <c r="C43" s="15">
        <f t="shared" si="2"/>
        <v>71146757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18659339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1250000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51237418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215</v>
      </c>
      <c r="C44" s="15">
        <f t="shared" si="2"/>
        <v>22672451</v>
      </c>
      <c r="D44" s="143">
        <f>SUMIFS('Plan rashoda za unos u SAP'!$I$3:$I$501,'Plan rashoda za unos u SAP'!$C$3:$C$501,"=11",'Plan rashoda za unos u SAP'!$M$3:$M$501,"=422")</f>
        <v>679751</v>
      </c>
      <c r="E44" s="143">
        <f>SUMIFS('Plan rashoda za unos u SAP'!$I$3:$I$501,'Plan rashoda za unos u SAP'!$C$3:$C$501,"=12",'Plan rashoda za unos u SAP'!$M$3:$M$501,"=422")</f>
        <v>3154605</v>
      </c>
      <c r="F44" s="143">
        <f>SUMIFS('Plan rashoda za unos u SAP'!$I$3:$I$501,'Plan rashoda za unos u SAP'!$C$3:$C$501,"=31",'Plan rashoda za unos u SAP'!$M$3:$M$501,"=422")</f>
        <v>35000</v>
      </c>
      <c r="G44" s="143">
        <f>SUMIFS('Plan rashoda za unos u SAP'!$I$3:$I$501,'Plan rashoda za unos u SAP'!$C$3:$C$501,"=43",'Plan rashoda za unos u SAP'!$M$3:$M$501,"=422")</f>
        <v>368000</v>
      </c>
      <c r="H44" s="143">
        <f>SUMIFS('Plan rashoda za unos u SAP'!$I$3:$I$501,'Plan rashoda za unos u SAP'!$C$3:$C$501,"=51",'Plan rashoda za unos u SAP'!$M$3:$M$501,"=422")</f>
        <v>0</v>
      </c>
      <c r="I44" s="143">
        <f>SUMIFS('Plan rashoda za unos u SAP'!$I$3:$I$501,'Plan rashoda za unos u SAP'!$C$3:$C$501,"=52",'Plan rashoda za unos u SAP'!$M$3:$M$501,"=422")</f>
        <v>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0</v>
      </c>
      <c r="L44" s="143">
        <f>SUMIFS('Plan rashoda za unos u SAP'!$I$3:$I$501,'Plan rashoda za unos u SAP'!$C$3:$C$501,"=563",'Plan rashoda za unos u SAP'!$M$3:$M$501,"=422")</f>
        <v>17876095</v>
      </c>
      <c r="M44" s="143">
        <f>SUMIFS('Plan rashoda za unos u SAP'!$I$3:$I$501,'Plan rashoda za unos u SAP'!$C$3:$C$501,"=61",'Plan rashoda za unos u SAP'!$M$3:$M$501,"=422")</f>
        <v>559000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216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217</v>
      </c>
      <c r="C46" s="15">
        <f t="shared" si="2"/>
        <v>32000</v>
      </c>
      <c r="D46" s="143">
        <f>SUMIFS('Plan rashoda za unos u SAP'!$I$3:$I$501,'Plan rashoda za unos u SAP'!$C$3:$C$501,"=11",'Plan rashoda za unos u SAP'!$M$3:$M$501,"=424")</f>
        <v>13000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0</v>
      </c>
      <c r="G46" s="143">
        <f>SUMIFS('Plan rashoda za unos u SAP'!$I$3:$I$501,'Plan rashoda za unos u SAP'!$C$3:$C$501,"=43",'Plan rashoda za unos u SAP'!$M$3:$M$501,"=424")</f>
        <v>19000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349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218</v>
      </c>
      <c r="C48" s="15">
        <f t="shared" si="2"/>
        <v>19062</v>
      </c>
      <c r="D48" s="143">
        <f>SUMIFS('Plan rashoda za unos u SAP'!$I$3:$I$501,'Plan rashoda za unos u SAP'!$C$3:$C$501,"=11",'Plan rashoda za unos u SAP'!$M$3:$M$501,"=426")</f>
        <v>5000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0</v>
      </c>
      <c r="G48" s="143">
        <f>SUMIFS('Plan rashoda za unos u SAP'!$I$3:$I$501,'Plan rashoda za unos u SAP'!$C$3:$C$501,"=43",'Plan rashoda za unos u SAP'!$M$3:$M$501,"=426")</f>
        <v>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14062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350</v>
      </c>
      <c r="C49" s="4">
        <f t="shared" si="2"/>
        <v>5000</v>
      </c>
      <c r="D49" s="13">
        <f>SUM(D50)</f>
        <v>5000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351</v>
      </c>
      <c r="C50" s="15">
        <f t="shared" si="2"/>
        <v>5000</v>
      </c>
      <c r="D50" s="143">
        <f>SUMIFS('Plan rashoda za unos u SAP'!$I$3:$I$501,'Plan rashoda za unos u SAP'!$C$3:$C$501,"=11",'Plan rashoda za unos u SAP'!$M$3:$M$501,"=431")</f>
        <v>5000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351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352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219</v>
      </c>
      <c r="C53" s="4">
        <f t="shared" si="2"/>
        <v>3350000</v>
      </c>
      <c r="D53" s="4">
        <f t="shared" ref="D53:P53" si="15">SUM(D54:D57)</f>
        <v>2100000</v>
      </c>
      <c r="E53" s="4">
        <f t="shared" si="15"/>
        <v>0</v>
      </c>
      <c r="F53" s="4">
        <f t="shared" si="15"/>
        <v>0</v>
      </c>
      <c r="G53" s="4">
        <f t="shared" si="15"/>
        <v>1250000</v>
      </c>
      <c r="H53" s="4">
        <f t="shared" si="15"/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123</v>
      </c>
      <c r="C54" s="15">
        <f t="shared" si="2"/>
        <v>3350000</v>
      </c>
      <c r="D54" s="143">
        <f>SUMIFS('Plan rashoda za unos u SAP'!$I$3:$I$501,'Plan rashoda za unos u SAP'!$C$3:$C$501,"=11",'Plan rashoda za unos u SAP'!$M$3:$M$501,"=451")</f>
        <v>2100000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0</v>
      </c>
      <c r="G54" s="143">
        <f>SUMIFS('Plan rashoda za unos u SAP'!$I$3:$I$501,'Plan rashoda za unos u SAP'!$C$3:$C$501,"=43",'Plan rashoda za unos u SAP'!$M$3:$M$501,"=451")</f>
        <v>1250000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143</v>
      </c>
      <c r="C55" s="15">
        <f t="shared" si="2"/>
        <v>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0</v>
      </c>
      <c r="G55" s="143">
        <f>SUMIFS('Plan rashoda za unos u SAP'!$I$3:$I$501,'Plan rashoda za unos u SAP'!$C$3:$C$501,"=43",'Plan rashoda za unos u SAP'!$M$3:$M$501,"=452")</f>
        <v>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186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138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361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365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366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367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362</v>
      </c>
      <c r="C63" s="79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368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369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370</v>
      </c>
      <c r="C66" s="79">
        <f t="shared" si="19"/>
        <v>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371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372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81" customHeight="1">
      <c r="A70" s="94" t="s">
        <v>198</v>
      </c>
      <c r="B70" s="94" t="s">
        <v>199</v>
      </c>
      <c r="C70" s="2" t="s">
        <v>360</v>
      </c>
      <c r="D70" s="2" t="s">
        <v>35</v>
      </c>
      <c r="E70" s="2" t="s">
        <v>331</v>
      </c>
      <c r="F70" s="94" t="s">
        <v>2</v>
      </c>
      <c r="G70" s="94" t="s">
        <v>3</v>
      </c>
      <c r="H70" s="94" t="s">
        <v>279</v>
      </c>
      <c r="I70" s="94" t="s">
        <v>280</v>
      </c>
      <c r="J70" s="94" t="s">
        <v>281</v>
      </c>
      <c r="K70" s="94" t="s">
        <v>282</v>
      </c>
      <c r="L70" s="94" t="s">
        <v>283</v>
      </c>
      <c r="M70" s="94" t="s">
        <v>284</v>
      </c>
      <c r="N70" s="94" t="s">
        <v>285</v>
      </c>
      <c r="O70" s="94" t="s">
        <v>200</v>
      </c>
      <c r="P70" s="94" t="s">
        <v>1222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363</v>
      </c>
      <c r="C71" s="122">
        <f>SUM(D71:P71)</f>
        <v>83983321.257892191</v>
      </c>
      <c r="D71" s="123">
        <f t="shared" ref="D71:P71" si="21">+D72+D80+D86</f>
        <v>60367162.257892199</v>
      </c>
      <c r="E71" s="123">
        <f t="shared" si="21"/>
        <v>1193213</v>
      </c>
      <c r="F71" s="123">
        <f t="shared" si="21"/>
        <v>1215311</v>
      </c>
      <c r="G71" s="123">
        <f t="shared" si="21"/>
        <v>11739070</v>
      </c>
      <c r="H71" s="123">
        <f t="shared" si="21"/>
        <v>0</v>
      </c>
      <c r="I71" s="123">
        <f t="shared" si="21"/>
        <v>1899545</v>
      </c>
      <c r="J71" s="123">
        <f t="shared" si="21"/>
        <v>0</v>
      </c>
      <c r="K71" s="123">
        <f t="shared" si="21"/>
        <v>0</v>
      </c>
      <c r="L71" s="123">
        <f t="shared" si="21"/>
        <v>6761538</v>
      </c>
      <c r="M71" s="123">
        <f t="shared" si="21"/>
        <v>807482</v>
      </c>
      <c r="N71" s="123">
        <f t="shared" si="21"/>
        <v>0</v>
      </c>
      <c r="O71" s="123">
        <f t="shared" si="21"/>
        <v>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201</v>
      </c>
      <c r="C72" s="126">
        <f>ROUND(SUM(D72:P72),0)</f>
        <v>76564727</v>
      </c>
      <c r="D72" s="132">
        <f t="shared" ref="D72:P72" si="22">SUM(D73:D79)</f>
        <v>57459990.257892199</v>
      </c>
      <c r="E72" s="132">
        <f t="shared" si="22"/>
        <v>1043213</v>
      </c>
      <c r="F72" s="132">
        <f t="shared" si="22"/>
        <v>1179206</v>
      </c>
      <c r="G72" s="132">
        <f t="shared" si="22"/>
        <v>8848850</v>
      </c>
      <c r="H72" s="132">
        <f t="shared" si="22"/>
        <v>0</v>
      </c>
      <c r="I72" s="132">
        <f t="shared" si="22"/>
        <v>1899545</v>
      </c>
      <c r="J72" s="132">
        <f t="shared" si="22"/>
        <v>0</v>
      </c>
      <c r="K72" s="132">
        <f t="shared" si="22"/>
        <v>0</v>
      </c>
      <c r="L72" s="132">
        <f t="shared" si="22"/>
        <v>5911538</v>
      </c>
      <c r="M72" s="132">
        <f t="shared" si="22"/>
        <v>222385</v>
      </c>
      <c r="N72" s="132">
        <f t="shared" si="22"/>
        <v>0</v>
      </c>
      <c r="O72" s="132">
        <f t="shared" si="22"/>
        <v>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202</v>
      </c>
      <c r="C73" s="134">
        <f>ROUND(SUM(D73:P73),0)</f>
        <v>46798610</v>
      </c>
      <c r="D73" s="143">
        <f>SUMIFS('Plan rashoda za unos u SAP'!$J$3:$J$501,'Plan rashoda za unos u SAP'!$C$3:$C$501,"=11",'Plan rashoda za unos u SAP'!$N$3:$N$501,"=31")</f>
        <v>44718690.257892199</v>
      </c>
      <c r="E73" s="143">
        <f>SUMIFS('Plan rashoda za unos u SAP'!$J$3:$J$501,'Plan rashoda za unos u SAP'!$C$3:$C$501,"=12",'Plan rashoda za unos u SAP'!$N$3:$N$501,"=31")</f>
        <v>63000</v>
      </c>
      <c r="F73" s="143">
        <f>SUMIFS('Plan rashoda za unos u SAP'!$J$3:$J$501,'Plan rashoda za unos u SAP'!$C$3:$C$501,"=31",'Plan rashoda za unos u SAP'!$N$3:$N$501,"=31")</f>
        <v>839485</v>
      </c>
      <c r="G73" s="143">
        <f>SUMIFS('Plan rashoda za unos u SAP'!$J$3:$J$501,'Plan rashoda za unos u SAP'!$C$3:$C$501,"=43",'Plan rashoda za unos u SAP'!$N$3:$N$501,"=31")</f>
        <v>729176</v>
      </c>
      <c r="H73" s="143">
        <f>SUMIFS('Plan rashoda za unos u SAP'!$J$3:$J$501,'Plan rashoda za unos u SAP'!$C$3:$C$501,"=51",'Plan rashoda za unos u SAP'!$N$3:$N$501,"=31")</f>
        <v>0</v>
      </c>
      <c r="I73" s="143">
        <f>SUMIFS('Plan rashoda za unos u SAP'!$J$3:$J$501,'Plan rashoda za unos u SAP'!$C$3:$C$501,"=52",'Plan rashoda za unos u SAP'!$N$3:$N$501,"=31")</f>
        <v>0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0</v>
      </c>
      <c r="L73" s="143">
        <f>SUMIFS('Plan rashoda za unos u SAP'!$J$3:$J$501,'Plan rashoda za unos u SAP'!$C$3:$C$501,"=563",'Plan rashoda za unos u SAP'!$N$3:$N$501,"=31")</f>
        <v>357000</v>
      </c>
      <c r="M73" s="143">
        <f>SUMIFS('Plan rashoda za unos u SAP'!$J$3:$J$501,'Plan rashoda za unos u SAP'!$C$3:$C$501,"=61",'Plan rashoda za unos u SAP'!$N$3:$N$501,"=31")</f>
        <v>91259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203</v>
      </c>
      <c r="C74" s="135">
        <f t="shared" ref="C74:C85" si="23">ROUND(SUM(D74:P74),0)</f>
        <v>20959303</v>
      </c>
      <c r="D74" s="143">
        <f>SUMIFS('Plan rashoda za unos u SAP'!$J$3:$J$501,'Plan rashoda za unos u SAP'!$C$3:$C$501,"=11",'Plan rashoda za unos u SAP'!$N$3:$N$501,"=32")</f>
        <v>11187324</v>
      </c>
      <c r="E74" s="143">
        <f>SUMIFS('Plan rashoda za unos u SAP'!$J$3:$J$501,'Plan rashoda za unos u SAP'!$C$3:$C$501,"=12",'Plan rashoda za unos u SAP'!$N$3:$N$501,"=32")</f>
        <v>296818</v>
      </c>
      <c r="F74" s="143">
        <f>SUMIFS('Plan rashoda za unos u SAP'!$J$3:$J$501,'Plan rashoda za unos u SAP'!$C$3:$C$501,"=31",'Plan rashoda za unos u SAP'!$N$3:$N$501,"=32")</f>
        <v>310129</v>
      </c>
      <c r="G74" s="143">
        <f>SUMIFS('Plan rashoda za unos u SAP'!$J$3:$J$501,'Plan rashoda za unos u SAP'!$C$3:$C$501,"=43",'Plan rashoda za unos u SAP'!$N$3:$N$501,"=32")</f>
        <v>7052394</v>
      </c>
      <c r="H74" s="143">
        <f>SUMIFS('Plan rashoda za unos u SAP'!$J$3:$J$501,'Plan rashoda za unos u SAP'!$C$3:$C$501,"=51",'Plan rashoda za unos u SAP'!$N$3:$N$501,"=32")</f>
        <v>0</v>
      </c>
      <c r="I74" s="143">
        <f>SUMIFS('Plan rashoda za unos u SAP'!$J$3:$J$501,'Plan rashoda za unos u SAP'!$C$3:$C$501,"=52",'Plan rashoda za unos u SAP'!$N$3:$N$501,"=32")</f>
        <v>299545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0</v>
      </c>
      <c r="L74" s="143">
        <f>SUMIFS('Plan rashoda za unos u SAP'!$J$3:$J$501,'Plan rashoda za unos u SAP'!$C$3:$C$501,"=563",'Plan rashoda za unos u SAP'!$N$3:$N$501,"=32")</f>
        <v>1681967</v>
      </c>
      <c r="M74" s="143">
        <f>SUMIFS('Plan rashoda za unos u SAP'!$J$3:$J$501,'Plan rashoda za unos u SAP'!$C$3:$C$501,"=61",'Plan rashoda za unos u SAP'!$N$3:$N$501,"=32")</f>
        <v>131126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207</v>
      </c>
      <c r="C75" s="135">
        <f t="shared" si="23"/>
        <v>111029</v>
      </c>
      <c r="D75" s="143">
        <f>SUMIFS('Plan rashoda za unos u SAP'!$J$3:$J$501,'Plan rashoda za unos u SAP'!$C$3:$C$501,"=11",'Plan rashoda za unos u SAP'!$N$3:$N$501,"=34")</f>
        <v>93976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4487</v>
      </c>
      <c r="G75" s="143">
        <f>SUMIFS('Plan rashoda za unos u SAP'!$J$3:$J$501,'Plan rashoda za unos u SAP'!$C$3:$C$501,"=43",'Plan rashoda za unos u SAP'!$N$3:$N$501,"=34")</f>
        <v>12566</v>
      </c>
      <c r="H75" s="143">
        <f>SUMIFS('Plan rashoda za unos u SAP'!$J$3:$J$501,'Plan rashoda za unos u SAP'!$C$3:$C$501,"=51",'Plan rashoda za unos u SAP'!$N$3:$N$501,"=34")</f>
        <v>0</v>
      </c>
      <c r="I75" s="143">
        <f>SUMIFS('Plan rashoda za unos u SAP'!$J$3:$J$501,'Plan rashoda za unos u SAP'!$C$3:$C$501,"=52",'Plan rashoda za unos u SAP'!$N$3:$N$501,"=34")</f>
        <v>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334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209</v>
      </c>
      <c r="C77" s="135">
        <f t="shared" si="23"/>
        <v>5735966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683395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1180000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3872571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341</v>
      </c>
      <c r="C78" s="135">
        <f t="shared" si="23"/>
        <v>2934714</v>
      </c>
      <c r="D78" s="143">
        <f>SUMIFS('Plan rashoda za unos u SAP'!$J$3:$J$501,'Plan rashoda za unos u SAP'!$C$3:$C$501,"=11",'Plan rashoda za unos u SAP'!$N$3:$N$501,"=37")</f>
        <v>1460000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0</v>
      </c>
      <c r="G78" s="143">
        <f>SUMIFS('Plan rashoda za unos u SAP'!$J$3:$J$501,'Plan rashoda za unos u SAP'!$C$3:$C$501,"=43",'Plan rashoda za unos u SAP'!$N$3:$N$501,"=37")</f>
        <v>1054714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420000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211</v>
      </c>
      <c r="C79" s="135">
        <f t="shared" si="23"/>
        <v>25105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25105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213</v>
      </c>
      <c r="C80" s="128">
        <f>ROUND(SUM(D80:P80),0)</f>
        <v>7418594</v>
      </c>
      <c r="D80" s="133">
        <f t="shared" ref="D80:P80" si="24">SUM(D81:D85)</f>
        <v>2907172</v>
      </c>
      <c r="E80" s="133">
        <f t="shared" si="24"/>
        <v>150000</v>
      </c>
      <c r="F80" s="133">
        <f t="shared" si="24"/>
        <v>36105</v>
      </c>
      <c r="G80" s="133">
        <f t="shared" si="24"/>
        <v>2890220</v>
      </c>
      <c r="H80" s="133">
        <f t="shared" si="24"/>
        <v>0</v>
      </c>
      <c r="I80" s="133">
        <f t="shared" si="24"/>
        <v>0</v>
      </c>
      <c r="J80" s="133">
        <f t="shared" si="24"/>
        <v>0</v>
      </c>
      <c r="K80" s="133">
        <f t="shared" si="24"/>
        <v>0</v>
      </c>
      <c r="L80" s="133">
        <f t="shared" si="24"/>
        <v>850000</v>
      </c>
      <c r="M80" s="133">
        <f t="shared" si="24"/>
        <v>585097</v>
      </c>
      <c r="N80" s="133">
        <f t="shared" si="24"/>
        <v>0</v>
      </c>
      <c r="O80" s="133">
        <f t="shared" si="24"/>
        <v>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346</v>
      </c>
      <c r="C81" s="135">
        <f t="shared" si="23"/>
        <v>100000</v>
      </c>
      <c r="D81" s="143">
        <f>SUMIFS('Plan rashoda za unos u SAP'!$J$3:$J$501,'Plan rashoda za unos u SAP'!$C$3:$C$501,"=11",'Plan rashoda za unos u SAP'!$N$3:$N$501,"=41")</f>
        <v>100000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267</v>
      </c>
      <c r="C82" s="135">
        <f t="shared" si="23"/>
        <v>3913594</v>
      </c>
      <c r="D82" s="143">
        <f>SUMIFS('Plan rashoda za unos u SAP'!$J$3:$J$501,'Plan rashoda za unos u SAP'!$C$3:$C$501,"=11",'Plan rashoda za unos u SAP'!$N$3:$N$501,"=42")</f>
        <v>652172</v>
      </c>
      <c r="E82" s="143">
        <f>SUMIFS('Plan rashoda za unos u SAP'!$J$3:$J$501,'Plan rashoda za unos u SAP'!$C$3:$C$501,"=12",'Plan rashoda za unos u SAP'!$N$3:$N$501,"=42")</f>
        <v>150000</v>
      </c>
      <c r="F82" s="143">
        <f>SUMIFS('Plan rashoda za unos u SAP'!$J$3:$J$501,'Plan rashoda za unos u SAP'!$C$3:$C$501,"=31",'Plan rashoda za unos u SAP'!$N$3:$N$501,"=42")</f>
        <v>36105</v>
      </c>
      <c r="G82" s="143">
        <f>SUMIFS('Plan rashoda za unos u SAP'!$J$3:$J$501,'Plan rashoda za unos u SAP'!$C$3:$C$501,"=43",'Plan rashoda za unos u SAP'!$N$3:$N$501,"=42")</f>
        <v>1640220</v>
      </c>
      <c r="H82" s="143">
        <f>SUMIFS('Plan rashoda za unos u SAP'!$J$3:$J$501,'Plan rashoda za unos u SAP'!$C$3:$C$501,"=51",'Plan rashoda za unos u SAP'!$N$3:$N$501,"=42")</f>
        <v>0</v>
      </c>
      <c r="I82" s="143">
        <f>SUMIFS('Plan rashoda za unos u SAP'!$J$3:$J$501,'Plan rashoda za unos u SAP'!$C$3:$C$501,"=52",'Plan rashoda za unos u SAP'!$N$3:$N$501,"=42")</f>
        <v>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850000</v>
      </c>
      <c r="M82" s="143">
        <f>SUMIFS('Plan rashoda za unos u SAP'!$J$3:$J$501,'Plan rashoda za unos u SAP'!$C$3:$C$501,"=61",'Plan rashoda za unos u SAP'!$N$3:$N$501,"=42")</f>
        <v>585097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350</v>
      </c>
      <c r="C83" s="135">
        <f t="shared" si="23"/>
        <v>5000</v>
      </c>
      <c r="D83" s="143">
        <f>SUMIFS('Plan rashoda za unos u SAP'!$J$3:$J$501,'Plan rashoda za unos u SAP'!$C$3:$C$501,"=11",'Plan rashoda za unos u SAP'!$N$3:$N$501,"=43")</f>
        <v>5000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351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219</v>
      </c>
      <c r="C85" s="135">
        <f t="shared" si="23"/>
        <v>3400000</v>
      </c>
      <c r="D85" s="143">
        <f>SUMIFS('Plan rashoda za unos u SAP'!$J$3:$J$501,'Plan rashoda za unos u SAP'!$C$3:$C$501,"=11",'Plan rashoda za unos u SAP'!$N$3:$N$501,"=45")</f>
        <v>2150000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0</v>
      </c>
      <c r="G85" s="143">
        <f>SUMIFS('Plan rashoda za unos u SAP'!$J$3:$J$501,'Plan rashoda za unos u SAP'!$C$3:$C$501,"=43",'Plan rashoda za unos u SAP'!$N$3:$N$501,"=45")</f>
        <v>1250000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361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362</v>
      </c>
      <c r="C88" s="79">
        <f t="shared" ref="C88" si="26"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198</v>
      </c>
      <c r="B90" s="94" t="s">
        <v>199</v>
      </c>
      <c r="C90" s="2" t="s">
        <v>1226</v>
      </c>
      <c r="D90" s="2" t="s">
        <v>35</v>
      </c>
      <c r="E90" s="2" t="s">
        <v>331</v>
      </c>
      <c r="F90" s="94" t="s">
        <v>2</v>
      </c>
      <c r="G90" s="94" t="s">
        <v>3</v>
      </c>
      <c r="H90" s="94" t="s">
        <v>279</v>
      </c>
      <c r="I90" s="94" t="s">
        <v>280</v>
      </c>
      <c r="J90" s="94" t="s">
        <v>281</v>
      </c>
      <c r="K90" s="94" t="s">
        <v>282</v>
      </c>
      <c r="L90" s="94" t="s">
        <v>283</v>
      </c>
      <c r="M90" s="94" t="s">
        <v>284</v>
      </c>
      <c r="N90" s="94" t="s">
        <v>285</v>
      </c>
      <c r="O90" s="94" t="s">
        <v>200</v>
      </c>
      <c r="P90" s="94" t="s">
        <v>1223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356</v>
      </c>
      <c r="C91" s="122">
        <f>SUM(D91:P91)</f>
        <v>81759162.601805151</v>
      </c>
      <c r="D91" s="123">
        <f t="shared" ref="D91:P91" si="27">D92+D100+D106</f>
        <v>60486646.601805158</v>
      </c>
      <c r="E91" s="123">
        <f t="shared" si="27"/>
        <v>1267520</v>
      </c>
      <c r="F91" s="123">
        <f t="shared" si="27"/>
        <v>1229267</v>
      </c>
      <c r="G91" s="123">
        <f t="shared" si="27"/>
        <v>9767170</v>
      </c>
      <c r="H91" s="123">
        <f t="shared" si="27"/>
        <v>0</v>
      </c>
      <c r="I91" s="123">
        <f t="shared" si="27"/>
        <v>1012000</v>
      </c>
      <c r="J91" s="123">
        <f t="shared" si="27"/>
        <v>0</v>
      </c>
      <c r="K91" s="123">
        <f t="shared" si="27"/>
        <v>0</v>
      </c>
      <c r="L91" s="123">
        <f t="shared" si="27"/>
        <v>7182618</v>
      </c>
      <c r="M91" s="123">
        <f t="shared" si="27"/>
        <v>813941</v>
      </c>
      <c r="N91" s="123">
        <f t="shared" si="27"/>
        <v>0</v>
      </c>
      <c r="O91" s="123">
        <f t="shared" si="27"/>
        <v>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201</v>
      </c>
      <c r="C92" s="126">
        <f>ROUND(SUM(D92:P92),0)</f>
        <v>75331882</v>
      </c>
      <c r="D92" s="132">
        <f t="shared" ref="D92:P92" si="28">SUM(D93:D99)</f>
        <v>57579376.601805158</v>
      </c>
      <c r="E92" s="132">
        <f t="shared" si="28"/>
        <v>1042520</v>
      </c>
      <c r="F92" s="132">
        <f t="shared" si="28"/>
        <v>1188729</v>
      </c>
      <c r="G92" s="132">
        <f t="shared" si="28"/>
        <v>8377475</v>
      </c>
      <c r="H92" s="132">
        <f t="shared" si="28"/>
        <v>0</v>
      </c>
      <c r="I92" s="132">
        <f t="shared" si="28"/>
        <v>1012000</v>
      </c>
      <c r="J92" s="132">
        <f t="shared" si="28"/>
        <v>0</v>
      </c>
      <c r="K92" s="132">
        <f t="shared" si="28"/>
        <v>0</v>
      </c>
      <c r="L92" s="132">
        <f t="shared" si="28"/>
        <v>5907618</v>
      </c>
      <c r="M92" s="132">
        <f t="shared" si="28"/>
        <v>224163</v>
      </c>
      <c r="N92" s="132">
        <f t="shared" si="28"/>
        <v>0</v>
      </c>
      <c r="O92" s="132">
        <f t="shared" si="28"/>
        <v>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202</v>
      </c>
      <c r="C93" s="134">
        <f>ROUND(SUM(D93:P93),0)</f>
        <v>46701731</v>
      </c>
      <c r="D93" s="143">
        <f>SUMIFS('Plan rashoda za unos u SAP'!$K$3:$K$501,'Plan rashoda za unos u SAP'!$C$3:$C$501,"=11",'Plan rashoda za unos u SAP'!$N$3:$N$501,"=31")</f>
        <v>44821962.601805158</v>
      </c>
      <c r="E93" s="143">
        <f>SUMIFS('Plan rashoda za unos u SAP'!$K$3:$K$501,'Plan rashoda za unos u SAP'!$C$3:$C$501,"=12",'Plan rashoda za unos u SAP'!$N$3:$N$501,"=31")</f>
        <v>31500</v>
      </c>
      <c r="F93" s="143">
        <f>SUMIFS('Plan rashoda za unos u SAP'!$K$3:$K$501,'Plan rashoda za unos u SAP'!$C$3:$C$501,"=31",'Plan rashoda za unos u SAP'!$N$3:$N$501,"=31")</f>
        <v>842200</v>
      </c>
      <c r="G93" s="143">
        <f>SUMIFS('Plan rashoda za unos u SAP'!$K$3:$K$501,'Plan rashoda za unos u SAP'!$C$3:$C$501,"=43",'Plan rashoda za unos u SAP'!$N$3:$N$501,"=31")</f>
        <v>735579</v>
      </c>
      <c r="H93" s="143">
        <f>SUMIFS('Plan rashoda za unos u SAP'!$K$3:$K$501,'Plan rashoda za unos u SAP'!$C$3:$C$501,"=51",'Plan rashoda za unos u SAP'!$N$3:$N$501,"=31")</f>
        <v>0</v>
      </c>
      <c r="I93" s="143">
        <f>SUMIFS('Plan rashoda za unos u SAP'!$K$3:$K$501,'Plan rashoda za unos u SAP'!$C$3:$C$501,"=52",'Plan rashoda za unos u SAP'!$N$3:$N$501,"=31")</f>
        <v>0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0</v>
      </c>
      <c r="L93" s="143">
        <f>SUMIFS('Plan rashoda za unos u SAP'!$K$3:$K$501,'Plan rashoda za unos u SAP'!$C$3:$C$501,"=563",'Plan rashoda za unos u SAP'!$N$3:$N$501,"=31")</f>
        <v>178500</v>
      </c>
      <c r="M93" s="143">
        <f>SUMIFS('Plan rashoda za unos u SAP'!$K$3:$K$501,'Plan rashoda za unos u SAP'!$C$3:$C$501,"=61",'Plan rashoda za unos u SAP'!$N$3:$N$501,"=31")</f>
        <v>91989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203</v>
      </c>
      <c r="C94" s="135">
        <f t="shared" ref="C94:C105" si="29">ROUND(SUM(D94:P94),0)</f>
        <v>19363879</v>
      </c>
      <c r="D94" s="143">
        <f>SUMIFS('Plan rashoda za unos u SAP'!$K$3:$K$501,'Plan rashoda za unos u SAP'!$C$3:$C$501,"=11",'Plan rashoda za unos u SAP'!$N$3:$N$501,"=32")</f>
        <v>11203414</v>
      </c>
      <c r="E94" s="143">
        <f>SUMIFS('Plan rashoda za unos u SAP'!$K$3:$K$501,'Plan rashoda za unos u SAP'!$C$3:$C$501,"=12",'Plan rashoda za unos u SAP'!$N$3:$N$501,"=32")</f>
        <v>168750</v>
      </c>
      <c r="F94" s="143">
        <f>SUMIFS('Plan rashoda za unos u SAP'!$K$3:$K$501,'Plan rashoda za unos u SAP'!$C$3:$C$501,"=31",'Plan rashoda za unos u SAP'!$N$3:$N$501,"=32")</f>
        <v>317028</v>
      </c>
      <c r="G94" s="143">
        <f>SUMIFS('Plan rashoda za unos u SAP'!$K$3:$K$501,'Plan rashoda za unos u SAP'!$C$3:$C$501,"=43",'Plan rashoda za unos u SAP'!$N$3:$N$501,"=32")</f>
        <v>6574263</v>
      </c>
      <c r="H94" s="143">
        <f>SUMIFS('Plan rashoda za unos u SAP'!$K$3:$K$501,'Plan rashoda za unos u SAP'!$C$3:$C$501,"=51",'Plan rashoda za unos u SAP'!$N$3:$N$501,"=32")</f>
        <v>0</v>
      </c>
      <c r="I94" s="143">
        <f>SUMIFS('Plan rashoda za unos u SAP'!$K$3:$K$501,'Plan rashoda za unos u SAP'!$C$3:$C$501,"=52",'Plan rashoda za unos u SAP'!$N$3:$N$501,"=32")</f>
        <v>12000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0</v>
      </c>
      <c r="L94" s="143">
        <f>SUMIFS('Plan rashoda za unos u SAP'!$K$3:$K$501,'Plan rashoda za unos u SAP'!$C$3:$C$501,"=563",'Plan rashoda za unos u SAP'!$N$3:$N$501,"=32")</f>
        <v>956250</v>
      </c>
      <c r="M94" s="143">
        <f>SUMIFS('Plan rashoda za unos u SAP'!$K$3:$K$501,'Plan rashoda za unos u SAP'!$C$3:$C$501,"=61",'Plan rashoda za unos u SAP'!$N$3:$N$501,"=32")</f>
        <v>132174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207</v>
      </c>
      <c r="C95" s="135">
        <f t="shared" si="29"/>
        <v>110996</v>
      </c>
      <c r="D95" s="143">
        <f>SUMIFS('Plan rashoda za unos u SAP'!$K$3:$K$501,'Plan rashoda za unos u SAP'!$C$3:$C$501,"=11",'Plan rashoda za unos u SAP'!$N$3:$N$501,"=34")</f>
        <v>94000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4355</v>
      </c>
      <c r="G95" s="143">
        <f>SUMIFS('Plan rashoda za unos u SAP'!$K$3:$K$501,'Plan rashoda za unos u SAP'!$C$3:$C$501,"=43",'Plan rashoda za unos u SAP'!$N$3:$N$501,"=34")</f>
        <v>12641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334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209</v>
      </c>
      <c r="C97" s="135">
        <f t="shared" si="29"/>
        <v>6615138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842270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1000000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4772868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341</v>
      </c>
      <c r="C98" s="135">
        <f t="shared" si="29"/>
        <v>2514992</v>
      </c>
      <c r="D98" s="143">
        <f>SUMIFS('Plan rashoda za unos u SAP'!$K$3:$K$501,'Plan rashoda za unos u SAP'!$C$3:$C$501,"=11",'Plan rashoda za unos u SAP'!$N$3:$N$501,"=37")</f>
        <v>1460000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0</v>
      </c>
      <c r="G98" s="143">
        <f>SUMIFS('Plan rashoda za unos u SAP'!$K$3:$K$501,'Plan rashoda za unos u SAP'!$C$3:$C$501,"=43",'Plan rashoda za unos u SAP'!$N$3:$N$501,"=37")</f>
        <v>1054992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211</v>
      </c>
      <c r="C99" s="135">
        <f t="shared" si="29"/>
        <v>25146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25146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213</v>
      </c>
      <c r="C100" s="128">
        <f>ROUND(SUM(D100:P100),0)</f>
        <v>6427281</v>
      </c>
      <c r="D100" s="133">
        <f t="shared" ref="D100:P100" si="30">SUM(D101:D105)</f>
        <v>2907270</v>
      </c>
      <c r="E100" s="133">
        <f t="shared" si="30"/>
        <v>225000</v>
      </c>
      <c r="F100" s="133">
        <f t="shared" si="30"/>
        <v>40538</v>
      </c>
      <c r="G100" s="133">
        <f t="shared" si="30"/>
        <v>1389695</v>
      </c>
      <c r="H100" s="133">
        <f t="shared" si="30"/>
        <v>0</v>
      </c>
      <c r="I100" s="133">
        <f t="shared" si="30"/>
        <v>0</v>
      </c>
      <c r="J100" s="133">
        <f t="shared" si="30"/>
        <v>0</v>
      </c>
      <c r="K100" s="133">
        <f t="shared" si="30"/>
        <v>0</v>
      </c>
      <c r="L100" s="133">
        <f t="shared" si="30"/>
        <v>1275000</v>
      </c>
      <c r="M100" s="133">
        <f t="shared" si="30"/>
        <v>589778</v>
      </c>
      <c r="N100" s="133">
        <f t="shared" si="30"/>
        <v>0</v>
      </c>
      <c r="O100" s="133">
        <f t="shared" si="30"/>
        <v>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346</v>
      </c>
      <c r="C101" s="135">
        <f t="shared" si="29"/>
        <v>100000</v>
      </c>
      <c r="D101" s="143">
        <f>SUMIFS('Plan rashoda za unos u SAP'!$K$3:$K$501,'Plan rashoda za unos u SAP'!$C$3:$C$501,"=11",'Plan rashoda za unos u SAP'!$N$3:$N$501,"=41")</f>
        <v>100000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267</v>
      </c>
      <c r="C102" s="135">
        <f t="shared" si="29"/>
        <v>3122281</v>
      </c>
      <c r="D102" s="143">
        <f>SUMIFS('Plan rashoda za unos u SAP'!$K$3:$K$501,'Plan rashoda za unos u SAP'!$C$3:$C$501,"=11",'Plan rashoda za unos u SAP'!$N$3:$N$501,"=42")</f>
        <v>602270</v>
      </c>
      <c r="E102" s="143">
        <f>SUMIFS('Plan rashoda za unos u SAP'!$K$3:$K$501,'Plan rashoda za unos u SAP'!$C$3:$C$501,"=12",'Plan rashoda za unos u SAP'!$N$3:$N$501,"=42")</f>
        <v>225000</v>
      </c>
      <c r="F102" s="143">
        <f>SUMIFS('Plan rashoda za unos u SAP'!$K$3:$K$501,'Plan rashoda za unos u SAP'!$C$3:$C$501,"=31",'Plan rashoda za unos u SAP'!$N$3:$N$501,"=42")</f>
        <v>40538</v>
      </c>
      <c r="G102" s="143">
        <f>SUMIFS('Plan rashoda za unos u SAP'!$K$3:$K$501,'Plan rashoda za unos u SAP'!$C$3:$C$501,"=43",'Plan rashoda za unos u SAP'!$N$3:$N$501,"=42")</f>
        <v>389695</v>
      </c>
      <c r="H102" s="143">
        <f>SUMIFS('Plan rashoda za unos u SAP'!$K$3:$K$501,'Plan rashoda za unos u SAP'!$C$3:$C$501,"=51",'Plan rashoda za unos u SAP'!$N$3:$N$501,"=42")</f>
        <v>0</v>
      </c>
      <c r="I102" s="143">
        <f>SUMIFS('Plan rashoda za unos u SAP'!$K$3:$K$501,'Plan rashoda za unos u SAP'!$C$3:$C$501,"=52",'Plan rashoda za unos u SAP'!$N$3:$N$501,"=42")</f>
        <v>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1275000</v>
      </c>
      <c r="M102" s="143">
        <f>SUMIFS('Plan rashoda za unos u SAP'!$K$3:$K$501,'Plan rashoda za unos u SAP'!$C$3:$C$501,"=61",'Plan rashoda za unos u SAP'!$N$3:$N$501,"=42")</f>
        <v>589778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350</v>
      </c>
      <c r="C103" s="135">
        <f t="shared" si="29"/>
        <v>5000</v>
      </c>
      <c r="D103" s="143">
        <f>SUMIFS('Plan rashoda za unos u SAP'!$K$3:$K$501,'Plan rashoda za unos u SAP'!$C$3:$C$501,"=11",'Plan rashoda za unos u SAP'!$N$3:$N$501,"=43")</f>
        <v>5000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351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219</v>
      </c>
      <c r="C105" s="135">
        <f t="shared" si="29"/>
        <v>3200000</v>
      </c>
      <c r="D105" s="143">
        <f>SUMIFS('Plan rashoda za unos u SAP'!$K$3:$K$501,'Plan rashoda za unos u SAP'!$C$3:$C$501,"=11",'Plan rashoda za unos u SAP'!$N$3:$N$501,"=45")</f>
        <v>2200000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0</v>
      </c>
      <c r="G105" s="143">
        <f>SUMIFS('Plan rashoda za unos u SAP'!$K$3:$K$501,'Plan rashoda za unos u SAP'!$C$3:$C$501,"=43",'Plan rashoda za unos u SAP'!$N$3:$N$501,"=45")</f>
        <v>1000000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361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362</v>
      </c>
      <c r="C108" s="79">
        <f t="shared" ref="C108" si="32"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selectLockedCells="1" autoFilter="0"/>
  <autoFilter ref="A70:P85"/>
  <mergeCells count="1">
    <mergeCell ref="A1:P1"/>
  </mergeCells>
  <phoneticPr fontId="31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W27"/>
  <sheetViews>
    <sheetView workbookViewId="0">
      <selection activeCell="G9" sqref="G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220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221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222</v>
      </c>
      <c r="B8" s="27"/>
    </row>
    <row r="9" spans="1:8" ht="15.75" thickBot="1"/>
    <row r="10" spans="1:8" ht="15" customHeight="1">
      <c r="A10" s="237" t="s">
        <v>223</v>
      </c>
      <c r="B10" s="239" t="s">
        <v>224</v>
      </c>
      <c r="C10" s="239" t="s">
        <v>225</v>
      </c>
      <c r="D10" s="242" t="s">
        <v>226</v>
      </c>
      <c r="E10" s="235" t="s">
        <v>413</v>
      </c>
      <c r="F10" s="235" t="s">
        <v>227</v>
      </c>
      <c r="G10" s="235" t="s">
        <v>228</v>
      </c>
      <c r="H10" s="235" t="s">
        <v>414</v>
      </c>
    </row>
    <row r="11" spans="1:8" ht="15.75" thickBot="1">
      <c r="A11" s="238"/>
      <c r="B11" s="240"/>
      <c r="C11" s="241"/>
      <c r="D11" s="243"/>
      <c r="E11" s="244"/>
      <c r="F11" s="236"/>
      <c r="G11" s="236"/>
      <c r="H11" s="236"/>
    </row>
    <row r="12" spans="1:8">
      <c r="A12" s="30"/>
      <c r="B12" s="31"/>
      <c r="C12" s="32"/>
      <c r="D12" s="172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229</v>
      </c>
      <c r="B23" s="56"/>
      <c r="C23" s="57"/>
      <c r="D23" s="57"/>
      <c r="E23" s="57"/>
      <c r="F23" s="57"/>
      <c r="G23" s="58" t="s">
        <v>230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231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1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pageSetUpPr fitToPage="1"/>
  </sheetPr>
  <dimension ref="A1:AB502"/>
  <sheetViews>
    <sheetView showGridLines="0" zoomScaleNormal="100" workbookViewId="0">
      <pane ySplit="2" topLeftCell="A48" activePane="bottomLeft" state="frozen"/>
      <selection pane="bottomLeft" activeCell="E71" sqref="E71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45" t="s">
        <v>415</v>
      </c>
      <c r="B1" s="245"/>
      <c r="C1" s="163" t="e">
        <f>IF('Opći dio'!#REF!="odaberite -","Molimo odaberite proračunskog korisnika na radnom listu Opći podaci!","")</f>
        <v>#REF!</v>
      </c>
    </row>
    <row r="2" spans="1:28" ht="60">
      <c r="A2" s="175" t="s">
        <v>409</v>
      </c>
      <c r="B2" s="176" t="s">
        <v>41</v>
      </c>
      <c r="C2" s="175" t="s">
        <v>407</v>
      </c>
      <c r="D2" s="176" t="s">
        <v>408</v>
      </c>
      <c r="E2" s="175" t="s">
        <v>416</v>
      </c>
      <c r="F2" s="176" t="s">
        <v>43</v>
      </c>
      <c r="G2" s="177" t="s">
        <v>401</v>
      </c>
      <c r="H2" s="177" t="s">
        <v>402</v>
      </c>
      <c r="I2" s="177" t="s">
        <v>403</v>
      </c>
      <c r="J2" s="177" t="s">
        <v>417</v>
      </c>
      <c r="K2" s="177" t="s">
        <v>418</v>
      </c>
      <c r="L2" s="177" t="s">
        <v>419</v>
      </c>
      <c r="M2" s="177" t="s">
        <v>420</v>
      </c>
      <c r="N2" s="177" t="s">
        <v>421</v>
      </c>
      <c r="P2" s="146" t="s">
        <v>379</v>
      </c>
      <c r="Q2" s="146" t="s">
        <v>380</v>
      </c>
    </row>
    <row r="3" spans="1:28">
      <c r="A3" s="153">
        <v>52</v>
      </c>
      <c r="B3" s="148" t="str">
        <f>IFERROR(VLOOKUP(A3,$R$6:$S$16,2,FALSE),"")</f>
        <v>Ostale pomoći</v>
      </c>
      <c r="C3" s="153">
        <v>3211</v>
      </c>
      <c r="D3" s="148" t="str">
        <f t="shared" ref="D3:D66" si="0">IFERROR(VLOOKUP(C3,$U$5:$W$129,2,FALSE),"")</f>
        <v>Službena putovanja</v>
      </c>
      <c r="E3" s="159" t="s">
        <v>483</v>
      </c>
      <c r="F3" s="148" t="str">
        <f>IFERROR(VLOOKUP(E3,$AA$6:$AB$200,2,FALSE),"")</f>
        <v>ERASMUS+ projekt individualne mobilnosti nastavnog i nenastavnog osoblja kroz boravak na inozemnim ustanovama</v>
      </c>
      <c r="G3" s="156">
        <v>20000</v>
      </c>
      <c r="H3" s="156"/>
      <c r="I3" s="156"/>
      <c r="J3" s="174"/>
      <c r="K3" s="173" t="s">
        <v>1230</v>
      </c>
      <c r="L3" s="173" t="s">
        <v>34</v>
      </c>
      <c r="M3" s="174" t="s">
        <v>1231</v>
      </c>
      <c r="N3" s="174" t="s">
        <v>1232</v>
      </c>
      <c r="P3" s="144" t="str">
        <f>LEFT(C3,3)</f>
        <v>321</v>
      </c>
      <c r="Q3" s="144" t="str">
        <f>LEFT(C3,2)</f>
        <v>32</v>
      </c>
    </row>
    <row r="4" spans="1:28">
      <c r="A4" s="153">
        <v>52</v>
      </c>
      <c r="B4" s="148" t="str">
        <f t="shared" ref="B4:B67" si="1">IFERROR(VLOOKUP(A4,$R$6:$S$16,2,FALSE),"")</f>
        <v>Ostale pomoći</v>
      </c>
      <c r="C4" s="153">
        <v>3221</v>
      </c>
      <c r="D4" s="148" t="str">
        <f t="shared" si="0"/>
        <v>Uredski materijal i ostali materijalni rashodi</v>
      </c>
      <c r="E4" s="159" t="s">
        <v>483</v>
      </c>
      <c r="F4" s="148" t="str">
        <f t="shared" ref="F4:F67" si="2">IFERROR(VLOOKUP(E4,$AA$6:$AB$200,2,FALSE),"")</f>
        <v>ERASMUS+ projekt individualne mobilnosti nastavnog i nenastavnog osoblja kroz boravak na inozemnim ustanovama</v>
      </c>
      <c r="G4" s="156">
        <v>5000</v>
      </c>
      <c r="H4" s="156"/>
      <c r="I4" s="156"/>
      <c r="J4" s="174"/>
      <c r="K4" s="173" t="s">
        <v>1230</v>
      </c>
      <c r="L4" s="173" t="s">
        <v>34</v>
      </c>
      <c r="M4" s="174" t="s">
        <v>1231</v>
      </c>
      <c r="N4" s="174" t="s">
        <v>1232</v>
      </c>
      <c r="P4" s="144" t="str">
        <f t="shared" ref="P4:P67" si="3">LEFT(C4,3)</f>
        <v>322</v>
      </c>
      <c r="Q4" s="144" t="str">
        <f t="shared" ref="Q4:Q67" si="4">LEFT(C4,2)</f>
        <v>32</v>
      </c>
      <c r="U4" s="149"/>
      <c r="V4" s="149"/>
    </row>
    <row r="5" spans="1:28">
      <c r="A5" s="153">
        <v>52</v>
      </c>
      <c r="B5" s="148" t="str">
        <f t="shared" si="1"/>
        <v>Ostale pomoći</v>
      </c>
      <c r="C5" s="153">
        <v>3233</v>
      </c>
      <c r="D5" s="148" t="str">
        <f t="shared" si="0"/>
        <v>Usluge promidžbe i informiranja</v>
      </c>
      <c r="E5" s="159" t="s">
        <v>483</v>
      </c>
      <c r="F5" s="148" t="str">
        <f t="shared" si="2"/>
        <v>ERASMUS+ projekt individualne mobilnosti nastavnog i nenastavnog osoblja kroz boravak na inozemnim ustanovama</v>
      </c>
      <c r="G5" s="156">
        <v>5000</v>
      </c>
      <c r="H5" s="156"/>
      <c r="I5" s="156"/>
      <c r="J5" s="174"/>
      <c r="K5" s="173" t="s">
        <v>1230</v>
      </c>
      <c r="L5" s="173" t="s">
        <v>34</v>
      </c>
      <c r="M5" s="174" t="s">
        <v>1231</v>
      </c>
      <c r="N5" s="174" t="s">
        <v>1232</v>
      </c>
      <c r="P5" s="144" t="str">
        <f t="shared" si="3"/>
        <v>323</v>
      </c>
      <c r="Q5" s="144" t="str">
        <f t="shared" si="4"/>
        <v>32</v>
      </c>
      <c r="R5" s="144" t="s">
        <v>40</v>
      </c>
      <c r="S5" s="144" t="s">
        <v>41</v>
      </c>
      <c r="U5" s="144">
        <v>3111</v>
      </c>
      <c r="V5" s="144" t="s">
        <v>49</v>
      </c>
      <c r="X5" s="144" t="str">
        <f t="shared" ref="X5:X68" si="5">LEFT(U5,2)</f>
        <v>31</v>
      </c>
      <c r="Y5" s="144" t="str">
        <f>LEFT(U5,3)</f>
        <v>311</v>
      </c>
      <c r="AA5" s="144" t="s">
        <v>42</v>
      </c>
      <c r="AB5" s="144" t="s">
        <v>43</v>
      </c>
    </row>
    <row r="6" spans="1:28">
      <c r="A6" s="153">
        <v>52</v>
      </c>
      <c r="B6" s="148" t="str">
        <f t="shared" si="1"/>
        <v>Ostale pomoći</v>
      </c>
      <c r="C6" s="153">
        <v>3237</v>
      </c>
      <c r="D6" s="148" t="str">
        <f t="shared" si="0"/>
        <v>Intelektualne i osobne usluge</v>
      </c>
      <c r="E6" s="159" t="s">
        <v>483</v>
      </c>
      <c r="F6" s="148" t="str">
        <f t="shared" si="2"/>
        <v>ERASMUS+ projekt individualne mobilnosti nastavnog i nenastavnog osoblja kroz boravak na inozemnim ustanovama</v>
      </c>
      <c r="G6" s="156">
        <v>50000</v>
      </c>
      <c r="H6" s="156"/>
      <c r="I6" s="156"/>
      <c r="J6" s="174"/>
      <c r="K6" s="173" t="s">
        <v>1230</v>
      </c>
      <c r="L6" s="173" t="s">
        <v>34</v>
      </c>
      <c r="M6" s="174" t="s">
        <v>1231</v>
      </c>
      <c r="N6" s="174" t="s">
        <v>1232</v>
      </c>
      <c r="P6" s="144" t="str">
        <f t="shared" si="3"/>
        <v>323</v>
      </c>
      <c r="Q6" s="144" t="str">
        <f t="shared" si="4"/>
        <v>32</v>
      </c>
      <c r="R6" s="144">
        <v>11</v>
      </c>
      <c r="S6" s="144" t="s">
        <v>48</v>
      </c>
      <c r="U6" s="144">
        <v>3112</v>
      </c>
      <c r="V6" s="144" t="s">
        <v>149</v>
      </c>
      <c r="X6" s="144" t="str">
        <f t="shared" si="5"/>
        <v>31</v>
      </c>
      <c r="Y6" s="144" t="str">
        <f t="shared" ref="Y6:Y69" si="6">LEFT(U6,3)</f>
        <v>311</v>
      </c>
      <c r="AA6" s="144" t="s">
        <v>474</v>
      </c>
      <c r="AB6" s="144" t="s">
        <v>474</v>
      </c>
    </row>
    <row r="7" spans="1:28">
      <c r="A7" s="153">
        <v>52</v>
      </c>
      <c r="B7" s="148" t="str">
        <f t="shared" si="1"/>
        <v>Ostale pomoći</v>
      </c>
      <c r="C7" s="153">
        <v>3239</v>
      </c>
      <c r="D7" s="148" t="str">
        <f t="shared" si="0"/>
        <v>Ostale usluge</v>
      </c>
      <c r="E7" s="159" t="s">
        <v>483</v>
      </c>
      <c r="F7" s="148" t="str">
        <f t="shared" si="2"/>
        <v>ERASMUS+ projekt individualne mobilnosti nastavnog i nenastavnog osoblja kroz boravak na inozemnim ustanovama</v>
      </c>
      <c r="G7" s="156">
        <v>10000</v>
      </c>
      <c r="H7" s="156"/>
      <c r="I7" s="156"/>
      <c r="J7" s="174"/>
      <c r="K7" s="173" t="s">
        <v>1230</v>
      </c>
      <c r="L7" s="173" t="s">
        <v>34</v>
      </c>
      <c r="M7" s="174" t="s">
        <v>1231</v>
      </c>
      <c r="N7" s="174" t="s">
        <v>1232</v>
      </c>
      <c r="P7" s="144" t="str">
        <f t="shared" si="3"/>
        <v>323</v>
      </c>
      <c r="Q7" s="144" t="str">
        <f t="shared" si="4"/>
        <v>32</v>
      </c>
      <c r="R7" s="144">
        <v>12</v>
      </c>
      <c r="S7" s="144" t="s">
        <v>269</v>
      </c>
      <c r="U7" s="144">
        <v>3113</v>
      </c>
      <c r="V7" s="144" t="s">
        <v>128</v>
      </c>
      <c r="X7" s="144" t="str">
        <f t="shared" si="5"/>
        <v>31</v>
      </c>
      <c r="Y7" s="144" t="str">
        <f t="shared" si="6"/>
        <v>311</v>
      </c>
      <c r="AA7" s="144" t="s">
        <v>475</v>
      </c>
      <c r="AB7" s="144" t="s">
        <v>476</v>
      </c>
    </row>
    <row r="8" spans="1:28">
      <c r="A8" s="153">
        <v>52</v>
      </c>
      <c r="B8" s="148" t="str">
        <f t="shared" si="1"/>
        <v>Ostale pomoći</v>
      </c>
      <c r="C8" s="153">
        <v>3293</v>
      </c>
      <c r="D8" s="148" t="str">
        <f t="shared" si="0"/>
        <v>Reprezentacija</v>
      </c>
      <c r="E8" s="159" t="s">
        <v>483</v>
      </c>
      <c r="F8" s="148" t="str">
        <f t="shared" si="2"/>
        <v>ERASMUS+ projekt individualne mobilnosti nastavnog i nenastavnog osoblja kroz boravak na inozemnim ustanovama</v>
      </c>
      <c r="G8" s="156">
        <v>10000</v>
      </c>
      <c r="H8" s="156"/>
      <c r="I8" s="156"/>
      <c r="J8" s="174"/>
      <c r="K8" s="173" t="s">
        <v>1230</v>
      </c>
      <c r="L8" s="173" t="s">
        <v>34</v>
      </c>
      <c r="M8" s="174" t="s">
        <v>1231</v>
      </c>
      <c r="N8" s="174" t="s">
        <v>1232</v>
      </c>
      <c r="P8" s="144" t="str">
        <f t="shared" si="3"/>
        <v>329</v>
      </c>
      <c r="Q8" s="144" t="str">
        <f t="shared" si="4"/>
        <v>32</v>
      </c>
      <c r="R8" s="144">
        <v>31</v>
      </c>
      <c r="S8" s="144" t="s">
        <v>93</v>
      </c>
      <c r="U8" s="144">
        <v>3114</v>
      </c>
      <c r="V8" s="144" t="s">
        <v>150</v>
      </c>
      <c r="X8" s="144" t="str">
        <f t="shared" si="5"/>
        <v>31</v>
      </c>
      <c r="Y8" s="144" t="str">
        <f t="shared" si="6"/>
        <v>311</v>
      </c>
      <c r="AA8" s="144" t="s">
        <v>477</v>
      </c>
      <c r="AB8" s="144" t="s">
        <v>478</v>
      </c>
    </row>
    <row r="9" spans="1:28">
      <c r="A9" s="153">
        <v>52</v>
      </c>
      <c r="B9" s="148" t="str">
        <f t="shared" si="1"/>
        <v>Ostale pomoći</v>
      </c>
      <c r="C9" s="153">
        <v>3299</v>
      </c>
      <c r="D9" s="148" t="str">
        <f t="shared" si="0"/>
        <v>Ostali nespomenuti rashodi poslovanja</v>
      </c>
      <c r="E9" s="159" t="s">
        <v>483</v>
      </c>
      <c r="F9" s="148" t="str">
        <f t="shared" si="2"/>
        <v>ERASMUS+ projekt individualne mobilnosti nastavnog i nenastavnog osoblja kroz boravak na inozemnim ustanovama</v>
      </c>
      <c r="G9" s="156">
        <v>5326</v>
      </c>
      <c r="H9" s="156"/>
      <c r="I9" s="156"/>
      <c r="J9" s="174"/>
      <c r="K9" s="173" t="s">
        <v>1230</v>
      </c>
      <c r="L9" s="173" t="s">
        <v>34</v>
      </c>
      <c r="M9" s="174" t="s">
        <v>1231</v>
      </c>
      <c r="N9" s="174" t="s">
        <v>1232</v>
      </c>
      <c r="P9" s="144" t="str">
        <f t="shared" si="3"/>
        <v>329</v>
      </c>
      <c r="Q9" s="144" t="str">
        <f t="shared" si="4"/>
        <v>32</v>
      </c>
      <c r="R9" s="144">
        <v>43</v>
      </c>
      <c r="S9" s="144" t="s">
        <v>98</v>
      </c>
      <c r="U9" s="144">
        <v>3121</v>
      </c>
      <c r="V9" s="144" t="s">
        <v>52</v>
      </c>
      <c r="X9" s="144" t="str">
        <f t="shared" si="5"/>
        <v>31</v>
      </c>
      <c r="Y9" s="144" t="str">
        <f t="shared" si="6"/>
        <v>312</v>
      </c>
      <c r="AA9" s="144" t="s">
        <v>479</v>
      </c>
      <c r="AB9" s="144" t="s">
        <v>480</v>
      </c>
    </row>
    <row r="10" spans="1:28">
      <c r="A10" s="153">
        <v>52</v>
      </c>
      <c r="B10" s="148" t="str">
        <f t="shared" si="1"/>
        <v>Ostale pomoći</v>
      </c>
      <c r="C10" s="153">
        <v>3693</v>
      </c>
      <c r="D10" s="148" t="str">
        <f t="shared" si="0"/>
        <v>Tekući prijenosi između proračunskih korisnika istog proraču</v>
      </c>
      <c r="E10" s="159" t="s">
        <v>483</v>
      </c>
      <c r="F10" s="148" t="str">
        <f t="shared" si="2"/>
        <v>ERASMUS+ projekt individualne mobilnosti nastavnog i nenastavnog osoblja kroz boravak na inozemnim ustanovama</v>
      </c>
      <c r="G10" s="156">
        <v>405300</v>
      </c>
      <c r="H10" s="156"/>
      <c r="I10" s="156"/>
      <c r="J10" s="174"/>
      <c r="K10" s="173" t="s">
        <v>1230</v>
      </c>
      <c r="L10" s="173" t="s">
        <v>34</v>
      </c>
      <c r="M10" s="174" t="s">
        <v>1231</v>
      </c>
      <c r="N10" s="174" t="s">
        <v>1232</v>
      </c>
      <c r="P10" s="144" t="str">
        <f t="shared" si="3"/>
        <v>369</v>
      </c>
      <c r="Q10" s="144" t="str">
        <f t="shared" si="4"/>
        <v>36</v>
      </c>
      <c r="R10" s="144">
        <v>51</v>
      </c>
      <c r="S10" s="144" t="s">
        <v>88</v>
      </c>
      <c r="U10" s="168">
        <v>3132</v>
      </c>
      <c r="V10" s="168" t="s">
        <v>53</v>
      </c>
      <c r="W10" s="168"/>
      <c r="X10" s="168" t="str">
        <f t="shared" si="5"/>
        <v>31</v>
      </c>
      <c r="Y10" s="168" t="str">
        <f t="shared" si="6"/>
        <v>313</v>
      </c>
      <c r="AA10" s="144" t="s">
        <v>481</v>
      </c>
      <c r="AB10" s="144" t="s">
        <v>482</v>
      </c>
    </row>
    <row r="11" spans="1:28">
      <c r="A11" s="153">
        <v>52</v>
      </c>
      <c r="B11" s="148" t="str">
        <f t="shared" si="1"/>
        <v>Ostale pomoći</v>
      </c>
      <c r="C11" s="153">
        <v>3723</v>
      </c>
      <c r="D11" s="148" t="str">
        <f t="shared" si="0"/>
        <v>Naknade građanima i kućanstvima iz EU sredstava</v>
      </c>
      <c r="E11" s="159" t="s">
        <v>483</v>
      </c>
      <c r="F11" s="148" t="str">
        <f t="shared" si="2"/>
        <v>ERASMUS+ projekt individualne mobilnosti nastavnog i nenastavnog osoblja kroz boravak na inozemnim ustanovama</v>
      </c>
      <c r="G11" s="156">
        <v>945700</v>
      </c>
      <c r="H11" s="156"/>
      <c r="I11" s="156"/>
      <c r="J11" s="174"/>
      <c r="K11" s="173" t="s">
        <v>1230</v>
      </c>
      <c r="L11" s="173" t="s">
        <v>34</v>
      </c>
      <c r="M11" s="174" t="s">
        <v>1231</v>
      </c>
      <c r="N11" s="174" t="s">
        <v>1232</v>
      </c>
      <c r="P11" s="144" t="str">
        <f t="shared" si="3"/>
        <v>372</v>
      </c>
      <c r="Q11" s="144" t="str">
        <f t="shared" si="4"/>
        <v>37</v>
      </c>
      <c r="R11" s="144">
        <v>52</v>
      </c>
      <c r="S11" s="144" t="s">
        <v>111</v>
      </c>
      <c r="U11" s="144">
        <v>3211</v>
      </c>
      <c r="V11" s="144" t="s">
        <v>80</v>
      </c>
      <c r="X11" s="144" t="str">
        <f t="shared" si="5"/>
        <v>32</v>
      </c>
      <c r="Y11" s="144" t="str">
        <f t="shared" si="6"/>
        <v>321</v>
      </c>
      <c r="AA11" s="144" t="s">
        <v>483</v>
      </c>
      <c r="AB11" s="144" t="s">
        <v>484</v>
      </c>
    </row>
    <row r="12" spans="1:28">
      <c r="A12" s="153">
        <v>52</v>
      </c>
      <c r="B12" s="148" t="str">
        <f t="shared" si="1"/>
        <v>Ostale pomoći</v>
      </c>
      <c r="C12" s="153">
        <v>3211</v>
      </c>
      <c r="D12" s="148" t="str">
        <f t="shared" si="0"/>
        <v>Službena putovanja</v>
      </c>
      <c r="E12" s="159" t="s">
        <v>483</v>
      </c>
      <c r="F12" s="148" t="str">
        <f t="shared" si="2"/>
        <v>ERASMUS+ projekt individualne mobilnosti nastavnog i nenastavnog osoblja kroz boravak na inozemnim ustanovama</v>
      </c>
      <c r="G12" s="156">
        <v>10000</v>
      </c>
      <c r="H12" s="156"/>
      <c r="I12" s="156"/>
      <c r="J12" s="174"/>
      <c r="K12" s="173" t="s">
        <v>1230</v>
      </c>
      <c r="L12" s="173" t="s">
        <v>34</v>
      </c>
      <c r="M12" s="174" t="s">
        <v>1231</v>
      </c>
      <c r="N12" s="174" t="s">
        <v>1233</v>
      </c>
      <c r="P12" s="144" t="str">
        <f t="shared" si="3"/>
        <v>321</v>
      </c>
      <c r="Q12" s="144" t="str">
        <f t="shared" si="4"/>
        <v>32</v>
      </c>
      <c r="R12" s="144">
        <v>61</v>
      </c>
      <c r="S12" s="144" t="s">
        <v>117</v>
      </c>
      <c r="U12" s="144">
        <v>3212</v>
      </c>
      <c r="V12" s="144" t="s">
        <v>54</v>
      </c>
      <c r="X12" s="144" t="str">
        <f t="shared" si="5"/>
        <v>32</v>
      </c>
      <c r="Y12" s="144" t="str">
        <f t="shared" si="6"/>
        <v>321</v>
      </c>
      <c r="AA12" s="144" t="s">
        <v>485</v>
      </c>
      <c r="AB12" s="144" t="s">
        <v>486</v>
      </c>
    </row>
    <row r="13" spans="1:28">
      <c r="A13" s="153">
        <v>52</v>
      </c>
      <c r="B13" s="148" t="str">
        <f t="shared" si="1"/>
        <v>Ostale pomoći</v>
      </c>
      <c r="C13" s="153">
        <v>3221</v>
      </c>
      <c r="D13" s="148" t="str">
        <f t="shared" si="0"/>
        <v>Uredski materijal i ostali materijalni rashodi</v>
      </c>
      <c r="E13" s="159" t="s">
        <v>483</v>
      </c>
      <c r="F13" s="148" t="str">
        <f t="shared" si="2"/>
        <v>ERASMUS+ projekt individualne mobilnosti nastavnog i nenastavnog osoblja kroz boravak na inozemnim ustanovama</v>
      </c>
      <c r="G13" s="156">
        <v>5000</v>
      </c>
      <c r="H13" s="156"/>
      <c r="I13" s="156"/>
      <c r="J13" s="174"/>
      <c r="K13" s="173" t="s">
        <v>1230</v>
      </c>
      <c r="L13" s="173" t="s">
        <v>34</v>
      </c>
      <c r="M13" s="174" t="s">
        <v>1231</v>
      </c>
      <c r="N13" s="174" t="s">
        <v>1233</v>
      </c>
      <c r="P13" s="144" t="str">
        <f t="shared" si="3"/>
        <v>322</v>
      </c>
      <c r="Q13" s="144" t="str">
        <f t="shared" si="4"/>
        <v>32</v>
      </c>
      <c r="R13" s="144">
        <v>71</v>
      </c>
      <c r="S13" s="144" t="s">
        <v>176</v>
      </c>
      <c r="U13" s="144">
        <v>3213</v>
      </c>
      <c r="V13" s="144" t="s">
        <v>99</v>
      </c>
      <c r="X13" s="144" t="str">
        <f t="shared" si="5"/>
        <v>32</v>
      </c>
      <c r="Y13" s="144" t="str">
        <f t="shared" si="6"/>
        <v>321</v>
      </c>
      <c r="AA13" s="144" t="s">
        <v>487</v>
      </c>
      <c r="AB13" s="144" t="s">
        <v>488</v>
      </c>
    </row>
    <row r="14" spans="1:28">
      <c r="A14" s="153">
        <v>52</v>
      </c>
      <c r="B14" s="148" t="str">
        <f t="shared" si="1"/>
        <v>Ostale pomoći</v>
      </c>
      <c r="C14" s="153">
        <v>3233</v>
      </c>
      <c r="D14" s="148" t="str">
        <f t="shared" si="0"/>
        <v>Usluge promidžbe i informiranja</v>
      </c>
      <c r="E14" s="159" t="s">
        <v>483</v>
      </c>
      <c r="F14" s="148" t="str">
        <f t="shared" si="2"/>
        <v>ERASMUS+ projekt individualne mobilnosti nastavnog i nenastavnog osoblja kroz boravak na inozemnim ustanovama</v>
      </c>
      <c r="G14" s="156">
        <v>5000</v>
      </c>
      <c r="H14" s="156"/>
      <c r="I14" s="156"/>
      <c r="J14" s="174"/>
      <c r="K14" s="173" t="s">
        <v>1230</v>
      </c>
      <c r="L14" s="173" t="s">
        <v>34</v>
      </c>
      <c r="M14" s="174" t="s">
        <v>1231</v>
      </c>
      <c r="N14" s="174" t="s">
        <v>1233</v>
      </c>
      <c r="P14" s="144" t="str">
        <f t="shared" si="3"/>
        <v>323</v>
      </c>
      <c r="Q14" s="144" t="str">
        <f t="shared" si="4"/>
        <v>32</v>
      </c>
      <c r="R14" s="144">
        <v>81</v>
      </c>
      <c r="S14" s="144" t="s">
        <v>58</v>
      </c>
      <c r="U14" s="144">
        <v>3214</v>
      </c>
      <c r="V14" s="144" t="s">
        <v>129</v>
      </c>
      <c r="X14" s="144" t="str">
        <f t="shared" si="5"/>
        <v>32</v>
      </c>
      <c r="Y14" s="144" t="str">
        <f t="shared" si="6"/>
        <v>321</v>
      </c>
      <c r="AA14" s="144" t="s">
        <v>489</v>
      </c>
      <c r="AB14" s="144" t="s">
        <v>490</v>
      </c>
    </row>
    <row r="15" spans="1:28">
      <c r="A15" s="153">
        <v>52</v>
      </c>
      <c r="B15" s="148" t="str">
        <f t="shared" si="1"/>
        <v>Ostale pomoći</v>
      </c>
      <c r="C15" s="153">
        <v>3237</v>
      </c>
      <c r="D15" s="148" t="str">
        <f t="shared" si="0"/>
        <v>Intelektualne i osobne usluge</v>
      </c>
      <c r="E15" s="159" t="s">
        <v>483</v>
      </c>
      <c r="F15" s="148" t="str">
        <f t="shared" si="2"/>
        <v>ERASMUS+ projekt individualne mobilnosti nastavnog i nenastavnog osoblja kroz boravak na inozemnim ustanovama</v>
      </c>
      <c r="G15" s="156">
        <v>35000</v>
      </c>
      <c r="H15" s="156"/>
      <c r="I15" s="156"/>
      <c r="J15" s="174"/>
      <c r="K15" s="173" t="s">
        <v>1230</v>
      </c>
      <c r="L15" s="173" t="s">
        <v>34</v>
      </c>
      <c r="M15" s="174" t="s">
        <v>1231</v>
      </c>
      <c r="N15" s="174" t="s">
        <v>1232</v>
      </c>
      <c r="P15" s="144" t="str">
        <f t="shared" si="3"/>
        <v>323</v>
      </c>
      <c r="Q15" s="144" t="str">
        <f t="shared" si="4"/>
        <v>32</v>
      </c>
      <c r="R15" s="144">
        <v>561</v>
      </c>
      <c r="S15" s="144" t="s">
        <v>113</v>
      </c>
      <c r="U15" s="144">
        <v>3221</v>
      </c>
      <c r="V15" s="144" t="s">
        <v>81</v>
      </c>
      <c r="X15" s="144" t="str">
        <f t="shared" si="5"/>
        <v>32</v>
      </c>
      <c r="Y15" s="144" t="str">
        <f t="shared" si="6"/>
        <v>322</v>
      </c>
      <c r="AA15" s="144" t="s">
        <v>491</v>
      </c>
      <c r="AB15" s="144" t="s">
        <v>492</v>
      </c>
    </row>
    <row r="16" spans="1:28">
      <c r="A16" s="153">
        <v>52</v>
      </c>
      <c r="B16" s="148" t="str">
        <f t="shared" si="1"/>
        <v>Ostale pomoći</v>
      </c>
      <c r="C16" s="153">
        <v>3239</v>
      </c>
      <c r="D16" s="148" t="str">
        <f t="shared" si="0"/>
        <v>Ostale usluge</v>
      </c>
      <c r="E16" s="159" t="s">
        <v>483</v>
      </c>
      <c r="F16" s="148" t="str">
        <f t="shared" si="2"/>
        <v>ERASMUS+ projekt individualne mobilnosti nastavnog i nenastavnog osoblja kroz boravak na inozemnim ustanovama</v>
      </c>
      <c r="G16" s="156">
        <v>10000</v>
      </c>
      <c r="H16" s="156"/>
      <c r="I16" s="156"/>
      <c r="J16" s="174"/>
      <c r="K16" s="173" t="s">
        <v>1230</v>
      </c>
      <c r="L16" s="173" t="s">
        <v>34</v>
      </c>
      <c r="M16" s="174" t="s">
        <v>1231</v>
      </c>
      <c r="N16" s="174" t="s">
        <v>1233</v>
      </c>
      <c r="P16" s="144" t="str">
        <f t="shared" si="3"/>
        <v>323</v>
      </c>
      <c r="Q16" s="144" t="str">
        <f t="shared" si="4"/>
        <v>32</v>
      </c>
      <c r="R16" s="144">
        <v>563</v>
      </c>
      <c r="S16" s="144" t="s">
        <v>115</v>
      </c>
      <c r="U16" s="144">
        <v>3222</v>
      </c>
      <c r="V16" s="144" t="s">
        <v>102</v>
      </c>
      <c r="X16" s="144" t="str">
        <f t="shared" si="5"/>
        <v>32</v>
      </c>
      <c r="Y16" s="144" t="str">
        <f t="shared" si="6"/>
        <v>322</v>
      </c>
      <c r="AA16" s="144" t="s">
        <v>493</v>
      </c>
      <c r="AB16" s="144" t="s">
        <v>494</v>
      </c>
    </row>
    <row r="17" spans="1:28">
      <c r="A17" s="153">
        <v>52</v>
      </c>
      <c r="B17" s="148" t="str">
        <f t="shared" si="1"/>
        <v>Ostale pomoći</v>
      </c>
      <c r="C17" s="153">
        <v>3293</v>
      </c>
      <c r="D17" s="148" t="str">
        <f t="shared" si="0"/>
        <v>Reprezentacija</v>
      </c>
      <c r="E17" s="159" t="s">
        <v>483</v>
      </c>
      <c r="F17" s="148" t="str">
        <f t="shared" si="2"/>
        <v>ERASMUS+ projekt individualne mobilnosti nastavnog i nenastavnog osoblja kroz boravak na inozemnim ustanovama</v>
      </c>
      <c r="G17" s="156">
        <v>10000</v>
      </c>
      <c r="H17" s="156"/>
      <c r="I17" s="156"/>
      <c r="J17" s="174"/>
      <c r="K17" s="173" t="s">
        <v>1230</v>
      </c>
      <c r="L17" s="173" t="s">
        <v>34</v>
      </c>
      <c r="M17" s="174" t="s">
        <v>1231</v>
      </c>
      <c r="N17" s="174" t="s">
        <v>1233</v>
      </c>
      <c r="P17" s="144" t="str">
        <f t="shared" si="3"/>
        <v>329</v>
      </c>
      <c r="Q17" s="144" t="str">
        <f t="shared" si="4"/>
        <v>32</v>
      </c>
      <c r="U17" s="144">
        <v>3223</v>
      </c>
      <c r="V17" s="144" t="s">
        <v>90</v>
      </c>
      <c r="X17" s="144" t="str">
        <f t="shared" si="5"/>
        <v>32</v>
      </c>
      <c r="Y17" s="144" t="str">
        <f t="shared" si="6"/>
        <v>322</v>
      </c>
      <c r="AA17" s="144" t="s">
        <v>495</v>
      </c>
      <c r="AB17" s="144" t="s">
        <v>496</v>
      </c>
    </row>
    <row r="18" spans="1:28">
      <c r="A18" s="153">
        <v>52</v>
      </c>
      <c r="B18" s="148" t="str">
        <f t="shared" si="1"/>
        <v>Ostale pomoći</v>
      </c>
      <c r="C18" s="153">
        <v>3299</v>
      </c>
      <c r="D18" s="148" t="str">
        <f t="shared" si="0"/>
        <v>Ostali nespomenuti rashodi poslovanja</v>
      </c>
      <c r="E18" s="159" t="s">
        <v>483</v>
      </c>
      <c r="F18" s="148" t="str">
        <f t="shared" si="2"/>
        <v>ERASMUS+ projekt individualne mobilnosti nastavnog i nenastavnog osoblja kroz boravak na inozemnim ustanovama</v>
      </c>
      <c r="G18" s="156">
        <v>5995</v>
      </c>
      <c r="H18" s="156"/>
      <c r="I18" s="156"/>
      <c r="J18" s="174"/>
      <c r="K18" s="173" t="s">
        <v>1230</v>
      </c>
      <c r="L18" s="173" t="s">
        <v>34</v>
      </c>
      <c r="M18" s="174" t="s">
        <v>1231</v>
      </c>
      <c r="N18" s="174" t="s">
        <v>1233</v>
      </c>
      <c r="P18" s="144" t="str">
        <f t="shared" si="3"/>
        <v>329</v>
      </c>
      <c r="Q18" s="144" t="str">
        <f t="shared" si="4"/>
        <v>32</v>
      </c>
      <c r="U18" s="144">
        <v>3224</v>
      </c>
      <c r="V18" s="144" t="s">
        <v>95</v>
      </c>
      <c r="X18" s="144" t="str">
        <f t="shared" si="5"/>
        <v>32</v>
      </c>
      <c r="Y18" s="144" t="str">
        <f t="shared" si="6"/>
        <v>322</v>
      </c>
      <c r="AA18" s="144" t="s">
        <v>497</v>
      </c>
      <c r="AB18" s="144" t="s">
        <v>498</v>
      </c>
    </row>
    <row r="19" spans="1:28">
      <c r="A19" s="153">
        <v>52</v>
      </c>
      <c r="B19" s="148" t="str">
        <f t="shared" si="1"/>
        <v>Ostale pomoći</v>
      </c>
      <c r="C19" s="153">
        <v>3693</v>
      </c>
      <c r="D19" s="148" t="str">
        <f t="shared" si="0"/>
        <v>Tekući prijenosi između proračunskih korisnika istog proraču</v>
      </c>
      <c r="E19" s="159" t="s">
        <v>483</v>
      </c>
      <c r="F19" s="148" t="str">
        <f t="shared" si="2"/>
        <v>ERASMUS+ projekt individualne mobilnosti nastavnog i nenastavnog osoblja kroz boravak na inozemnim ustanovama</v>
      </c>
      <c r="G19" s="156">
        <v>182700</v>
      </c>
      <c r="H19" s="156"/>
      <c r="I19" s="156"/>
      <c r="J19" s="174"/>
      <c r="K19" s="173" t="s">
        <v>1230</v>
      </c>
      <c r="L19" s="173" t="s">
        <v>34</v>
      </c>
      <c r="M19" s="174" t="s">
        <v>1231</v>
      </c>
      <c r="N19" s="174" t="s">
        <v>1233</v>
      </c>
      <c r="P19" s="144" t="str">
        <f t="shared" si="3"/>
        <v>369</v>
      </c>
      <c r="Q19" s="144" t="str">
        <f t="shared" si="4"/>
        <v>36</v>
      </c>
      <c r="U19" s="144">
        <v>3225</v>
      </c>
      <c r="V19" s="144" t="s">
        <v>103</v>
      </c>
      <c r="X19" s="144" t="str">
        <f t="shared" si="5"/>
        <v>32</v>
      </c>
      <c r="Y19" s="144" t="str">
        <f t="shared" si="6"/>
        <v>322</v>
      </c>
      <c r="AA19" s="144" t="s">
        <v>499</v>
      </c>
      <c r="AB19" s="144" t="s">
        <v>500</v>
      </c>
    </row>
    <row r="20" spans="1:28">
      <c r="A20" s="153">
        <v>52</v>
      </c>
      <c r="B20" s="148" t="str">
        <f t="shared" si="1"/>
        <v>Ostale pomoći</v>
      </c>
      <c r="C20" s="153">
        <v>3723</v>
      </c>
      <c r="D20" s="148" t="str">
        <f t="shared" si="0"/>
        <v>Naknade građanima i kućanstvima iz EU sredstava</v>
      </c>
      <c r="E20" s="159" t="s">
        <v>483</v>
      </c>
      <c r="F20" s="148" t="str">
        <f t="shared" si="2"/>
        <v>ERASMUS+ projekt individualne mobilnosti nastavnog i nenastavnog osoblja kroz boravak na inozemnim ustanovama</v>
      </c>
      <c r="G20" s="156">
        <v>426300</v>
      </c>
      <c r="H20" s="156"/>
      <c r="I20" s="156"/>
      <c r="J20" s="174"/>
      <c r="K20" s="173" t="s">
        <v>1230</v>
      </c>
      <c r="L20" s="173" t="s">
        <v>34</v>
      </c>
      <c r="M20" s="174" t="s">
        <v>1231</v>
      </c>
      <c r="N20" s="174" t="s">
        <v>1233</v>
      </c>
      <c r="P20" s="144" t="str">
        <f t="shared" si="3"/>
        <v>372</v>
      </c>
      <c r="Q20" s="144" t="str">
        <f t="shared" si="4"/>
        <v>37</v>
      </c>
      <c r="U20" s="144">
        <v>3226</v>
      </c>
      <c r="V20" s="144" t="s">
        <v>178</v>
      </c>
      <c r="X20" s="144" t="str">
        <f t="shared" si="5"/>
        <v>32</v>
      </c>
      <c r="Y20" s="144" t="str">
        <f t="shared" si="6"/>
        <v>322</v>
      </c>
      <c r="AA20" s="144" t="s">
        <v>501</v>
      </c>
      <c r="AB20" s="144" t="s">
        <v>502</v>
      </c>
    </row>
    <row r="21" spans="1:28">
      <c r="A21" s="153">
        <v>52</v>
      </c>
      <c r="B21" s="148" t="str">
        <f t="shared" si="1"/>
        <v>Ostale pomoći</v>
      </c>
      <c r="C21" s="153">
        <v>3211</v>
      </c>
      <c r="D21" s="148" t="str">
        <f t="shared" si="0"/>
        <v>Službena putovanja</v>
      </c>
      <c r="E21" s="159" t="s">
        <v>483</v>
      </c>
      <c r="F21" s="148" t="str">
        <f t="shared" si="2"/>
        <v>ERASMUS+ projekt individualne mobilnosti nastavnog i nenastavnog osoblja kroz boravak na inozemnim ustanovama</v>
      </c>
      <c r="G21" s="156">
        <v>100000</v>
      </c>
      <c r="H21" s="156">
        <v>100000</v>
      </c>
      <c r="I21" s="156"/>
      <c r="J21" s="174"/>
      <c r="K21" s="173" t="s">
        <v>1234</v>
      </c>
      <c r="L21" s="173" t="s">
        <v>37</v>
      </c>
      <c r="M21" s="174" t="s">
        <v>1231</v>
      </c>
      <c r="N21" s="174" t="s">
        <v>1232</v>
      </c>
      <c r="P21" s="144" t="str">
        <f t="shared" si="3"/>
        <v>321</v>
      </c>
      <c r="Q21" s="144" t="str">
        <f t="shared" si="4"/>
        <v>32</v>
      </c>
      <c r="U21" s="144">
        <v>3227</v>
      </c>
      <c r="V21" s="144" t="s">
        <v>120</v>
      </c>
      <c r="X21" s="144" t="str">
        <f t="shared" si="5"/>
        <v>32</v>
      </c>
      <c r="Y21" s="144" t="str">
        <f t="shared" si="6"/>
        <v>322</v>
      </c>
      <c r="AA21" s="144" t="s">
        <v>503</v>
      </c>
      <c r="AB21" s="144" t="s">
        <v>504</v>
      </c>
    </row>
    <row r="22" spans="1:28">
      <c r="A22" s="153">
        <v>52</v>
      </c>
      <c r="B22" s="148" t="str">
        <f t="shared" si="1"/>
        <v>Ostale pomoći</v>
      </c>
      <c r="C22" s="153">
        <v>3221</v>
      </c>
      <c r="D22" s="148" t="str">
        <f t="shared" si="0"/>
        <v>Uredski materijal i ostali materijalni rashodi</v>
      </c>
      <c r="E22" s="159" t="s">
        <v>483</v>
      </c>
      <c r="F22" s="148" t="str">
        <f t="shared" si="2"/>
        <v>ERASMUS+ projekt individualne mobilnosti nastavnog i nenastavnog osoblja kroz boravak na inozemnim ustanovama</v>
      </c>
      <c r="G22" s="156">
        <v>10000</v>
      </c>
      <c r="H22" s="156">
        <v>10000</v>
      </c>
      <c r="I22" s="156"/>
      <c r="J22" s="174"/>
      <c r="K22" s="173" t="s">
        <v>1234</v>
      </c>
      <c r="L22" s="173" t="s">
        <v>37</v>
      </c>
      <c r="M22" s="174" t="s">
        <v>1231</v>
      </c>
      <c r="N22" s="174" t="s">
        <v>1232</v>
      </c>
      <c r="P22" s="144" t="str">
        <f t="shared" si="3"/>
        <v>322</v>
      </c>
      <c r="Q22" s="144" t="str">
        <f t="shared" si="4"/>
        <v>32</v>
      </c>
      <c r="U22" s="144">
        <v>3231</v>
      </c>
      <c r="V22" s="144" t="s">
        <v>104</v>
      </c>
      <c r="X22" s="144" t="str">
        <f t="shared" si="5"/>
        <v>32</v>
      </c>
      <c r="Y22" s="144" t="str">
        <f t="shared" si="6"/>
        <v>323</v>
      </c>
      <c r="AA22" s="144" t="s">
        <v>505</v>
      </c>
      <c r="AB22" s="144" t="s">
        <v>506</v>
      </c>
    </row>
    <row r="23" spans="1:28">
      <c r="A23" s="153">
        <v>52</v>
      </c>
      <c r="B23" s="148" t="str">
        <f t="shared" si="1"/>
        <v>Ostale pomoći</v>
      </c>
      <c r="C23" s="153">
        <v>3233</v>
      </c>
      <c r="D23" s="148" t="str">
        <f t="shared" si="0"/>
        <v>Usluge promidžbe i informiranja</v>
      </c>
      <c r="E23" s="159" t="s">
        <v>483</v>
      </c>
      <c r="F23" s="148" t="str">
        <f t="shared" si="2"/>
        <v>ERASMUS+ projekt individualne mobilnosti nastavnog i nenastavnog osoblja kroz boravak na inozemnim ustanovama</v>
      </c>
      <c r="G23" s="156">
        <v>10000</v>
      </c>
      <c r="H23" s="156">
        <v>5000</v>
      </c>
      <c r="I23" s="156"/>
      <c r="J23" s="174"/>
      <c r="K23" s="173" t="s">
        <v>1234</v>
      </c>
      <c r="L23" s="173" t="s">
        <v>37</v>
      </c>
      <c r="M23" s="174" t="s">
        <v>1231</v>
      </c>
      <c r="N23" s="174" t="s">
        <v>1232</v>
      </c>
      <c r="P23" s="144" t="str">
        <f t="shared" si="3"/>
        <v>323</v>
      </c>
      <c r="Q23" s="144" t="str">
        <f t="shared" si="4"/>
        <v>32</v>
      </c>
      <c r="U23" s="144">
        <v>3232</v>
      </c>
      <c r="V23" s="144" t="s">
        <v>91</v>
      </c>
      <c r="X23" s="144" t="str">
        <f t="shared" si="5"/>
        <v>32</v>
      </c>
      <c r="Y23" s="144" t="str">
        <f t="shared" si="6"/>
        <v>323</v>
      </c>
      <c r="AA23" s="144" t="s">
        <v>507</v>
      </c>
      <c r="AB23" s="144" t="s">
        <v>508</v>
      </c>
    </row>
    <row r="24" spans="1:28">
      <c r="A24" s="153">
        <v>52</v>
      </c>
      <c r="B24" s="148" t="str">
        <f t="shared" si="1"/>
        <v>Ostale pomoći</v>
      </c>
      <c r="C24" s="153">
        <v>3237</v>
      </c>
      <c r="D24" s="148" t="str">
        <f t="shared" si="0"/>
        <v>Intelektualne i osobne usluge</v>
      </c>
      <c r="E24" s="159" t="s">
        <v>483</v>
      </c>
      <c r="F24" s="148" t="str">
        <f t="shared" si="2"/>
        <v>ERASMUS+ projekt individualne mobilnosti nastavnog i nenastavnog osoblja kroz boravak na inozemnim ustanovama</v>
      </c>
      <c r="G24" s="156">
        <v>70000</v>
      </c>
      <c r="H24" s="156">
        <v>70000</v>
      </c>
      <c r="I24" s="156"/>
      <c r="J24" s="174"/>
      <c r="K24" s="173" t="s">
        <v>1234</v>
      </c>
      <c r="L24" s="173" t="s">
        <v>37</v>
      </c>
      <c r="M24" s="174" t="s">
        <v>1231</v>
      </c>
      <c r="N24" s="174" t="s">
        <v>1232</v>
      </c>
      <c r="P24" s="144" t="str">
        <f t="shared" si="3"/>
        <v>323</v>
      </c>
      <c r="Q24" s="144" t="str">
        <f t="shared" si="4"/>
        <v>32</v>
      </c>
      <c r="U24" s="144">
        <v>3233</v>
      </c>
      <c r="V24" s="144" t="s">
        <v>79</v>
      </c>
      <c r="X24" s="144" t="str">
        <f t="shared" si="5"/>
        <v>32</v>
      </c>
      <c r="Y24" s="144" t="str">
        <f t="shared" si="6"/>
        <v>323</v>
      </c>
      <c r="AA24" s="144" t="s">
        <v>509</v>
      </c>
      <c r="AB24" s="144" t="s">
        <v>510</v>
      </c>
    </row>
    <row r="25" spans="1:28">
      <c r="A25" s="153">
        <v>52</v>
      </c>
      <c r="B25" s="148" t="str">
        <f t="shared" si="1"/>
        <v>Ostale pomoći</v>
      </c>
      <c r="C25" s="153">
        <v>3239</v>
      </c>
      <c r="D25" s="148" t="str">
        <f t="shared" si="0"/>
        <v>Ostale usluge</v>
      </c>
      <c r="E25" s="159" t="s">
        <v>483</v>
      </c>
      <c r="F25" s="148" t="str">
        <f t="shared" si="2"/>
        <v>ERASMUS+ projekt individualne mobilnosti nastavnog i nenastavnog osoblja kroz boravak na inozemnim ustanovama</v>
      </c>
      <c r="G25" s="156">
        <v>10000</v>
      </c>
      <c r="H25" s="156">
        <v>10000</v>
      </c>
      <c r="I25" s="156"/>
      <c r="J25" s="174"/>
      <c r="K25" s="173" t="s">
        <v>1234</v>
      </c>
      <c r="L25" s="173" t="s">
        <v>37</v>
      </c>
      <c r="M25" s="174" t="s">
        <v>1231</v>
      </c>
      <c r="N25" s="174" t="s">
        <v>1232</v>
      </c>
      <c r="P25" s="144" t="str">
        <f t="shared" si="3"/>
        <v>323</v>
      </c>
      <c r="Q25" s="144" t="str">
        <f t="shared" si="4"/>
        <v>32</v>
      </c>
      <c r="U25" s="144">
        <v>3234</v>
      </c>
      <c r="V25" s="144" t="s">
        <v>92</v>
      </c>
      <c r="X25" s="144" t="str">
        <f t="shared" si="5"/>
        <v>32</v>
      </c>
      <c r="Y25" s="144" t="str">
        <f t="shared" si="6"/>
        <v>323</v>
      </c>
      <c r="AA25" s="144" t="s">
        <v>511</v>
      </c>
      <c r="AB25" s="144" t="s">
        <v>512</v>
      </c>
    </row>
    <row r="26" spans="1:28">
      <c r="A26" s="153">
        <v>52</v>
      </c>
      <c r="B26" s="148" t="str">
        <f t="shared" si="1"/>
        <v>Ostale pomoći</v>
      </c>
      <c r="C26" s="153">
        <v>3293</v>
      </c>
      <c r="D26" s="148" t="str">
        <f t="shared" si="0"/>
        <v>Reprezentacija</v>
      </c>
      <c r="E26" s="159" t="s">
        <v>483</v>
      </c>
      <c r="F26" s="148" t="str">
        <f t="shared" si="2"/>
        <v>ERASMUS+ projekt individualne mobilnosti nastavnog i nenastavnog osoblja kroz boravak na inozemnim ustanovama</v>
      </c>
      <c r="G26" s="156">
        <v>12000</v>
      </c>
      <c r="H26" s="156">
        <v>11000</v>
      </c>
      <c r="I26" s="156"/>
      <c r="J26" s="174"/>
      <c r="K26" s="173" t="s">
        <v>1234</v>
      </c>
      <c r="L26" s="173" t="s">
        <v>37</v>
      </c>
      <c r="M26" s="174" t="s">
        <v>1231</v>
      </c>
      <c r="N26" s="174" t="s">
        <v>1232</v>
      </c>
      <c r="P26" s="144" t="str">
        <f t="shared" si="3"/>
        <v>329</v>
      </c>
      <c r="Q26" s="144" t="str">
        <f t="shared" si="4"/>
        <v>32</v>
      </c>
      <c r="U26" s="144">
        <v>3235</v>
      </c>
      <c r="V26" s="144" t="s">
        <v>112</v>
      </c>
      <c r="X26" s="144" t="str">
        <f t="shared" si="5"/>
        <v>32</v>
      </c>
      <c r="Y26" s="144" t="str">
        <f t="shared" si="6"/>
        <v>323</v>
      </c>
      <c r="AA26" s="144" t="s">
        <v>513</v>
      </c>
      <c r="AB26" s="144" t="s">
        <v>514</v>
      </c>
    </row>
    <row r="27" spans="1:28">
      <c r="A27" s="153">
        <v>52</v>
      </c>
      <c r="B27" s="148" t="str">
        <f t="shared" si="1"/>
        <v>Ostale pomoći</v>
      </c>
      <c r="C27" s="153">
        <v>3299</v>
      </c>
      <c r="D27" s="148" t="str">
        <f t="shared" si="0"/>
        <v>Ostali nespomenuti rashodi poslovanja</v>
      </c>
      <c r="E27" s="159" t="s">
        <v>483</v>
      </c>
      <c r="F27" s="148" t="str">
        <f t="shared" si="2"/>
        <v>ERASMUS+ projekt individualne mobilnosti nastavnog i nenastavnog osoblja kroz boravak na inozemnim ustanovama</v>
      </c>
      <c r="G27" s="156">
        <v>10312</v>
      </c>
      <c r="H27" s="156">
        <v>10525</v>
      </c>
      <c r="I27" s="156"/>
      <c r="J27" s="174"/>
      <c r="K27" s="173" t="s">
        <v>1234</v>
      </c>
      <c r="L27" s="173" t="s">
        <v>37</v>
      </c>
      <c r="M27" s="174" t="s">
        <v>1231</v>
      </c>
      <c r="N27" s="174" t="s">
        <v>1232</v>
      </c>
      <c r="P27" s="144" t="str">
        <f t="shared" si="3"/>
        <v>329</v>
      </c>
      <c r="Q27" s="144" t="str">
        <f t="shared" si="4"/>
        <v>32</v>
      </c>
      <c r="U27" s="144">
        <v>3236</v>
      </c>
      <c r="V27" s="144" t="s">
        <v>55</v>
      </c>
      <c r="X27" s="144" t="str">
        <f t="shared" si="5"/>
        <v>32</v>
      </c>
      <c r="Y27" s="144" t="str">
        <f t="shared" si="6"/>
        <v>323</v>
      </c>
      <c r="AA27" s="144" t="s">
        <v>515</v>
      </c>
      <c r="AB27" s="144" t="s">
        <v>516</v>
      </c>
    </row>
    <row r="28" spans="1:28">
      <c r="A28" s="153">
        <v>52</v>
      </c>
      <c r="B28" s="148" t="str">
        <f t="shared" si="1"/>
        <v>Ostale pomoći</v>
      </c>
      <c r="C28" s="153">
        <v>3693</v>
      </c>
      <c r="D28" s="148" t="str">
        <f t="shared" si="0"/>
        <v>Tekući prijenosi između proračunskih korisnika istog proraču</v>
      </c>
      <c r="E28" s="159" t="s">
        <v>483</v>
      </c>
      <c r="F28" s="148" t="str">
        <f t="shared" si="2"/>
        <v>ERASMUS+ projekt individualne mobilnosti nastavnog i nenastavnog osoblja kroz boravak na inozemnim ustanovama</v>
      </c>
      <c r="G28" s="156">
        <v>1338000</v>
      </c>
      <c r="H28" s="156">
        <v>120000</v>
      </c>
      <c r="I28" s="156"/>
      <c r="J28" s="174"/>
      <c r="K28" s="173" t="s">
        <v>1234</v>
      </c>
      <c r="L28" s="173" t="s">
        <v>37</v>
      </c>
      <c r="M28" s="174" t="s">
        <v>1231</v>
      </c>
      <c r="N28" s="174" t="s">
        <v>1232</v>
      </c>
      <c r="P28" s="144" t="str">
        <f t="shared" si="3"/>
        <v>369</v>
      </c>
      <c r="Q28" s="144" t="str">
        <f t="shared" si="4"/>
        <v>36</v>
      </c>
      <c r="U28" s="144">
        <v>3237</v>
      </c>
      <c r="V28" s="144" t="s">
        <v>68</v>
      </c>
      <c r="X28" s="144" t="str">
        <f t="shared" si="5"/>
        <v>32</v>
      </c>
      <c r="Y28" s="144" t="str">
        <f t="shared" si="6"/>
        <v>323</v>
      </c>
      <c r="AA28" s="144" t="s">
        <v>517</v>
      </c>
      <c r="AB28" s="144" t="s">
        <v>518</v>
      </c>
    </row>
    <row r="29" spans="1:28">
      <c r="A29" s="153">
        <v>52</v>
      </c>
      <c r="B29" s="148" t="str">
        <f t="shared" si="1"/>
        <v>Ostale pomoći</v>
      </c>
      <c r="C29" s="153">
        <v>3723</v>
      </c>
      <c r="D29" s="148" t="str">
        <f t="shared" si="0"/>
        <v>Naknade građanima i kućanstvima iz EU sredstava</v>
      </c>
      <c r="E29" s="159" t="s">
        <v>483</v>
      </c>
      <c r="F29" s="148" t="str">
        <f t="shared" si="2"/>
        <v>ERASMUS+ projekt individualne mobilnosti nastavnog i nenastavnog osoblja kroz boravak na inozemnim ustanovama</v>
      </c>
      <c r="G29" s="156">
        <v>3122000</v>
      </c>
      <c r="H29" s="156">
        <v>280000</v>
      </c>
      <c r="I29" s="156"/>
      <c r="J29" s="174"/>
      <c r="K29" s="173" t="s">
        <v>1234</v>
      </c>
      <c r="L29" s="173" t="s">
        <v>37</v>
      </c>
      <c r="M29" s="174" t="s">
        <v>1231</v>
      </c>
      <c r="N29" s="174" t="s">
        <v>1232</v>
      </c>
      <c r="P29" s="144" t="str">
        <f t="shared" si="3"/>
        <v>372</v>
      </c>
      <c r="Q29" s="144" t="str">
        <f t="shared" si="4"/>
        <v>37</v>
      </c>
      <c r="U29" s="144">
        <v>3238</v>
      </c>
      <c r="V29" s="144" t="s">
        <v>105</v>
      </c>
      <c r="X29" s="144" t="str">
        <f t="shared" si="5"/>
        <v>32</v>
      </c>
      <c r="Y29" s="144" t="str">
        <f t="shared" si="6"/>
        <v>323</v>
      </c>
      <c r="AA29" s="144" t="s">
        <v>519</v>
      </c>
      <c r="AB29" s="144" t="s">
        <v>520</v>
      </c>
    </row>
    <row r="30" spans="1:28">
      <c r="A30" s="153">
        <v>52</v>
      </c>
      <c r="B30" s="148" t="str">
        <f t="shared" si="1"/>
        <v>Ostale pomoći</v>
      </c>
      <c r="C30" s="153">
        <v>3211</v>
      </c>
      <c r="D30" s="148" t="str">
        <f t="shared" si="0"/>
        <v>Službena putovanja</v>
      </c>
      <c r="E30" s="159" t="s">
        <v>483</v>
      </c>
      <c r="F30" s="148" t="str">
        <f t="shared" si="2"/>
        <v>ERASMUS+ projekt individualne mobilnosti nastavnog i nenastavnog osoblja kroz boravak na inozemnim ustanovama</v>
      </c>
      <c r="G30" s="156">
        <v>44048</v>
      </c>
      <c r="H30" s="156">
        <v>21020</v>
      </c>
      <c r="I30" s="156"/>
      <c r="J30" s="174"/>
      <c r="K30" s="173" t="s">
        <v>1234</v>
      </c>
      <c r="L30" s="173" t="s">
        <v>37</v>
      </c>
      <c r="M30" s="174" t="s">
        <v>1231</v>
      </c>
      <c r="N30" s="174" t="s">
        <v>1232</v>
      </c>
      <c r="P30" s="144" t="str">
        <f t="shared" si="3"/>
        <v>321</v>
      </c>
      <c r="Q30" s="144" t="str">
        <f t="shared" si="4"/>
        <v>32</v>
      </c>
      <c r="U30" s="144">
        <v>3239</v>
      </c>
      <c r="V30" s="144" t="s">
        <v>85</v>
      </c>
      <c r="X30" s="144" t="str">
        <f t="shared" si="5"/>
        <v>32</v>
      </c>
      <c r="Y30" s="144" t="str">
        <f t="shared" si="6"/>
        <v>323</v>
      </c>
      <c r="AA30" s="144" t="s">
        <v>521</v>
      </c>
      <c r="AB30" s="144" t="s">
        <v>522</v>
      </c>
    </row>
    <row r="31" spans="1:28">
      <c r="A31" s="153">
        <v>52</v>
      </c>
      <c r="B31" s="148" t="str">
        <f t="shared" si="1"/>
        <v>Ostale pomoći</v>
      </c>
      <c r="C31" s="153">
        <v>3221</v>
      </c>
      <c r="D31" s="148" t="str">
        <f t="shared" si="0"/>
        <v>Uredski materijal i ostali materijalni rashodi</v>
      </c>
      <c r="E31" s="159" t="s">
        <v>483</v>
      </c>
      <c r="F31" s="148" t="str">
        <f t="shared" si="2"/>
        <v>ERASMUS+ projekt individualne mobilnosti nastavnog i nenastavnog osoblja kroz boravak na inozemnim ustanovama</v>
      </c>
      <c r="G31" s="156">
        <v>5000</v>
      </c>
      <c r="H31" s="156">
        <v>5000</v>
      </c>
      <c r="I31" s="156"/>
      <c r="J31" s="174"/>
      <c r="K31" s="173" t="s">
        <v>1234</v>
      </c>
      <c r="L31" s="173" t="s">
        <v>37</v>
      </c>
      <c r="M31" s="174" t="s">
        <v>1231</v>
      </c>
      <c r="N31" s="174" t="s">
        <v>1232</v>
      </c>
      <c r="P31" s="144" t="str">
        <f t="shared" si="3"/>
        <v>322</v>
      </c>
      <c r="Q31" s="144" t="str">
        <f t="shared" si="4"/>
        <v>32</v>
      </c>
      <c r="U31" s="144">
        <v>3241</v>
      </c>
      <c r="V31" s="144" t="s">
        <v>82</v>
      </c>
      <c r="X31" s="144" t="str">
        <f t="shared" si="5"/>
        <v>32</v>
      </c>
      <c r="Y31" s="144" t="str">
        <f t="shared" si="6"/>
        <v>324</v>
      </c>
      <c r="AA31" s="144" t="s">
        <v>523</v>
      </c>
      <c r="AB31" s="144" t="s">
        <v>524</v>
      </c>
    </row>
    <row r="32" spans="1:28">
      <c r="A32" s="153">
        <v>52</v>
      </c>
      <c r="B32" s="148" t="str">
        <f t="shared" si="1"/>
        <v>Ostale pomoći</v>
      </c>
      <c r="C32" s="153">
        <v>3233</v>
      </c>
      <c r="D32" s="148" t="str">
        <f t="shared" si="0"/>
        <v>Usluge promidžbe i informiranja</v>
      </c>
      <c r="E32" s="159" t="s">
        <v>483</v>
      </c>
      <c r="F32" s="148" t="str">
        <f t="shared" si="2"/>
        <v>ERASMUS+ projekt individualne mobilnosti nastavnog i nenastavnog osoblja kroz boravak na inozemnim ustanovama</v>
      </c>
      <c r="G32" s="156">
        <v>10000</v>
      </c>
      <c r="H32" s="156">
        <v>5000</v>
      </c>
      <c r="I32" s="156"/>
      <c r="J32" s="174"/>
      <c r="K32" s="173" t="s">
        <v>1234</v>
      </c>
      <c r="L32" s="173" t="s">
        <v>37</v>
      </c>
      <c r="M32" s="174" t="s">
        <v>1231</v>
      </c>
      <c r="N32" s="174" t="s">
        <v>1232</v>
      </c>
      <c r="P32" s="144" t="str">
        <f t="shared" si="3"/>
        <v>323</v>
      </c>
      <c r="Q32" s="144" t="str">
        <f t="shared" si="4"/>
        <v>32</v>
      </c>
      <c r="U32" s="144">
        <v>3291</v>
      </c>
      <c r="V32" s="144" t="s">
        <v>83</v>
      </c>
      <c r="X32" s="144" t="str">
        <f t="shared" si="5"/>
        <v>32</v>
      </c>
      <c r="Y32" s="144" t="str">
        <f t="shared" si="6"/>
        <v>329</v>
      </c>
      <c r="AA32" s="144" t="s">
        <v>525</v>
      </c>
      <c r="AB32" s="144" t="s">
        <v>526</v>
      </c>
    </row>
    <row r="33" spans="1:28">
      <c r="A33" s="153">
        <v>52</v>
      </c>
      <c r="B33" s="148" t="str">
        <f t="shared" si="1"/>
        <v>Ostale pomoći</v>
      </c>
      <c r="C33" s="153">
        <v>3237</v>
      </c>
      <c r="D33" s="148" t="str">
        <f t="shared" si="0"/>
        <v>Intelektualne i osobne usluge</v>
      </c>
      <c r="E33" s="159" t="s">
        <v>483</v>
      </c>
      <c r="F33" s="148" t="str">
        <f t="shared" si="2"/>
        <v>ERASMUS+ projekt individualne mobilnosti nastavnog i nenastavnog osoblja kroz boravak na inozemnim ustanovama</v>
      </c>
      <c r="G33" s="156">
        <v>30000</v>
      </c>
      <c r="H33" s="156">
        <v>30000</v>
      </c>
      <c r="I33" s="156"/>
      <c r="J33" s="174"/>
      <c r="K33" s="173" t="s">
        <v>1234</v>
      </c>
      <c r="L33" s="173" t="s">
        <v>37</v>
      </c>
      <c r="M33" s="174" t="s">
        <v>1231</v>
      </c>
      <c r="N33" s="174" t="s">
        <v>1232</v>
      </c>
      <c r="P33" s="144" t="str">
        <f t="shared" si="3"/>
        <v>323</v>
      </c>
      <c r="Q33" s="144" t="str">
        <f t="shared" si="4"/>
        <v>32</v>
      </c>
      <c r="U33" s="144">
        <v>3292</v>
      </c>
      <c r="V33" s="144" t="s">
        <v>76</v>
      </c>
      <c r="X33" s="144" t="str">
        <f t="shared" si="5"/>
        <v>32</v>
      </c>
      <c r="Y33" s="144" t="str">
        <f t="shared" si="6"/>
        <v>329</v>
      </c>
      <c r="AA33" s="144" t="s">
        <v>527</v>
      </c>
      <c r="AB33" s="144" t="s">
        <v>528</v>
      </c>
    </row>
    <row r="34" spans="1:28">
      <c r="A34" s="153">
        <v>52</v>
      </c>
      <c r="B34" s="148" t="str">
        <f t="shared" si="1"/>
        <v>Ostale pomoći</v>
      </c>
      <c r="C34" s="153">
        <v>3239</v>
      </c>
      <c r="D34" s="148" t="str">
        <f t="shared" si="0"/>
        <v>Ostale usluge</v>
      </c>
      <c r="E34" s="159" t="s">
        <v>483</v>
      </c>
      <c r="F34" s="148" t="str">
        <f t="shared" si="2"/>
        <v>ERASMUS+ projekt individualne mobilnosti nastavnog i nenastavnog osoblja kroz boravak na inozemnim ustanovama</v>
      </c>
      <c r="G34" s="156">
        <v>5000</v>
      </c>
      <c r="H34" s="156">
        <v>2500</v>
      </c>
      <c r="I34" s="156"/>
      <c r="J34" s="174"/>
      <c r="K34" s="173" t="s">
        <v>1234</v>
      </c>
      <c r="L34" s="173" t="s">
        <v>37</v>
      </c>
      <c r="M34" s="174" t="s">
        <v>1231</v>
      </c>
      <c r="N34" s="174" t="s">
        <v>1232</v>
      </c>
      <c r="P34" s="144" t="str">
        <f t="shared" si="3"/>
        <v>323</v>
      </c>
      <c r="Q34" s="144" t="str">
        <f t="shared" si="4"/>
        <v>32</v>
      </c>
      <c r="U34" s="144">
        <v>3293</v>
      </c>
      <c r="V34" s="144" t="s">
        <v>86</v>
      </c>
      <c r="X34" s="144" t="str">
        <f t="shared" si="5"/>
        <v>32</v>
      </c>
      <c r="Y34" s="144" t="str">
        <f t="shared" si="6"/>
        <v>329</v>
      </c>
      <c r="AA34" s="144" t="s">
        <v>529</v>
      </c>
      <c r="AB34" s="144" t="s">
        <v>530</v>
      </c>
    </row>
    <row r="35" spans="1:28">
      <c r="A35" s="153">
        <v>52</v>
      </c>
      <c r="B35" s="148" t="str">
        <f t="shared" si="1"/>
        <v>Ostale pomoći</v>
      </c>
      <c r="C35" s="153">
        <v>3293</v>
      </c>
      <c r="D35" s="148" t="str">
        <f t="shared" si="0"/>
        <v>Reprezentacija</v>
      </c>
      <c r="E35" s="159" t="s">
        <v>483</v>
      </c>
      <c r="F35" s="148" t="str">
        <f t="shared" si="2"/>
        <v>ERASMUS+ projekt individualne mobilnosti nastavnog i nenastavnog osoblja kroz boravak na inozemnim ustanovama</v>
      </c>
      <c r="G35" s="156">
        <v>5000</v>
      </c>
      <c r="H35" s="156">
        <v>5000</v>
      </c>
      <c r="I35" s="156"/>
      <c r="J35" s="174"/>
      <c r="K35" s="173" t="s">
        <v>1234</v>
      </c>
      <c r="L35" s="173" t="s">
        <v>37</v>
      </c>
      <c r="M35" s="174" t="s">
        <v>1231</v>
      </c>
      <c r="N35" s="174" t="s">
        <v>1232</v>
      </c>
      <c r="P35" s="144" t="str">
        <f t="shared" si="3"/>
        <v>329</v>
      </c>
      <c r="Q35" s="144" t="str">
        <f t="shared" si="4"/>
        <v>32</v>
      </c>
      <c r="U35" s="144">
        <v>3293</v>
      </c>
      <c r="V35" s="144" t="s">
        <v>134</v>
      </c>
      <c r="X35" s="144" t="str">
        <f t="shared" si="5"/>
        <v>32</v>
      </c>
      <c r="Y35" s="144" t="str">
        <f t="shared" si="6"/>
        <v>329</v>
      </c>
      <c r="AA35" s="144" t="s">
        <v>531</v>
      </c>
      <c r="AB35" s="144" t="s">
        <v>532</v>
      </c>
    </row>
    <row r="36" spans="1:28">
      <c r="A36" s="153">
        <v>52</v>
      </c>
      <c r="B36" s="148" t="str">
        <f t="shared" si="1"/>
        <v>Ostale pomoći</v>
      </c>
      <c r="C36" s="153">
        <v>3299</v>
      </c>
      <c r="D36" s="148" t="str">
        <f t="shared" si="0"/>
        <v>Ostali nespomenuti rashodi poslovanja</v>
      </c>
      <c r="E36" s="159" t="s">
        <v>483</v>
      </c>
      <c r="F36" s="148" t="str">
        <f t="shared" si="2"/>
        <v>ERASMUS+ projekt individualne mobilnosti nastavnog i nenastavnog osoblja kroz boravak na inozemnim ustanovama</v>
      </c>
      <c r="G36" s="156">
        <v>5000</v>
      </c>
      <c r="H36" s="156">
        <v>2500</v>
      </c>
      <c r="I36" s="156"/>
      <c r="J36" s="174"/>
      <c r="K36" s="173" t="s">
        <v>1234</v>
      </c>
      <c r="L36" s="173" t="s">
        <v>37</v>
      </c>
      <c r="M36" s="174" t="s">
        <v>1231</v>
      </c>
      <c r="N36" s="174" t="s">
        <v>1232</v>
      </c>
      <c r="P36" s="144" t="str">
        <f t="shared" si="3"/>
        <v>329</v>
      </c>
      <c r="Q36" s="144" t="str">
        <f t="shared" si="4"/>
        <v>32</v>
      </c>
      <c r="U36" s="144">
        <v>3294</v>
      </c>
      <c r="V36" s="144" t="s">
        <v>87</v>
      </c>
      <c r="X36" s="144" t="str">
        <f t="shared" si="5"/>
        <v>32</v>
      </c>
      <c r="Y36" s="144" t="str">
        <f t="shared" si="6"/>
        <v>329</v>
      </c>
      <c r="AA36" s="144" t="s">
        <v>533</v>
      </c>
      <c r="AB36" s="144" t="s">
        <v>534</v>
      </c>
    </row>
    <row r="37" spans="1:28">
      <c r="A37" s="153">
        <v>52</v>
      </c>
      <c r="B37" s="148" t="str">
        <f t="shared" si="1"/>
        <v>Ostale pomoći</v>
      </c>
      <c r="C37" s="153">
        <v>3693</v>
      </c>
      <c r="D37" s="148" t="str">
        <f t="shared" si="0"/>
        <v>Tekući prijenosi između proračunskih korisnika istog proraču</v>
      </c>
      <c r="E37" s="159" t="s">
        <v>483</v>
      </c>
      <c r="F37" s="148" t="str">
        <f t="shared" si="2"/>
        <v>ERASMUS+ projekt individualne mobilnosti nastavnog i nenastavnog osoblja kroz boravak na inozemnim ustanovama</v>
      </c>
      <c r="G37" s="156">
        <v>294000</v>
      </c>
      <c r="H37" s="156">
        <v>60000</v>
      </c>
      <c r="I37" s="156"/>
      <c r="J37" s="174"/>
      <c r="K37" s="173" t="s">
        <v>1234</v>
      </c>
      <c r="L37" s="173" t="s">
        <v>37</v>
      </c>
      <c r="M37" s="174" t="s">
        <v>1231</v>
      </c>
      <c r="N37" s="174" t="s">
        <v>1232</v>
      </c>
      <c r="P37" s="144" t="str">
        <f t="shared" si="3"/>
        <v>369</v>
      </c>
      <c r="Q37" s="144" t="str">
        <f t="shared" si="4"/>
        <v>36</v>
      </c>
      <c r="U37" s="144">
        <v>3295</v>
      </c>
      <c r="V37" s="144" t="s">
        <v>56</v>
      </c>
      <c r="X37" s="144" t="str">
        <f t="shared" si="5"/>
        <v>32</v>
      </c>
      <c r="Y37" s="144" t="str">
        <f t="shared" si="6"/>
        <v>329</v>
      </c>
      <c r="AA37" s="144" t="s">
        <v>535</v>
      </c>
      <c r="AB37" s="144" t="s">
        <v>536</v>
      </c>
    </row>
    <row r="38" spans="1:28">
      <c r="A38" s="153">
        <v>52</v>
      </c>
      <c r="B38" s="148" t="str">
        <f t="shared" si="1"/>
        <v>Ostale pomoći</v>
      </c>
      <c r="C38" s="153">
        <v>3723</v>
      </c>
      <c r="D38" s="148" t="str">
        <f t="shared" si="0"/>
        <v>Naknade građanima i kućanstvima iz EU sredstava</v>
      </c>
      <c r="E38" s="159" t="s">
        <v>483</v>
      </c>
      <c r="F38" s="148" t="str">
        <f t="shared" si="2"/>
        <v>ERASMUS+ projekt individualne mobilnosti nastavnog i nenastavnog osoblja kroz boravak na inozemnim ustanovama</v>
      </c>
      <c r="G38" s="156">
        <v>686000</v>
      </c>
      <c r="H38" s="156">
        <v>140000</v>
      </c>
      <c r="I38" s="156"/>
      <c r="J38" s="174"/>
      <c r="K38" s="173" t="s">
        <v>1234</v>
      </c>
      <c r="L38" s="173" t="s">
        <v>37</v>
      </c>
      <c r="M38" s="174" t="s">
        <v>1231</v>
      </c>
      <c r="N38" s="174" t="s">
        <v>1232</v>
      </c>
      <c r="P38" s="144" t="str">
        <f t="shared" si="3"/>
        <v>372</v>
      </c>
      <c r="Q38" s="144" t="str">
        <f t="shared" si="4"/>
        <v>37</v>
      </c>
      <c r="U38" s="144">
        <v>3296</v>
      </c>
      <c r="V38" s="144" t="s">
        <v>151</v>
      </c>
      <c r="X38" s="144" t="str">
        <f t="shared" si="5"/>
        <v>32</v>
      </c>
      <c r="Y38" s="144" t="str">
        <f t="shared" si="6"/>
        <v>329</v>
      </c>
      <c r="AA38" s="144" t="s">
        <v>537</v>
      </c>
      <c r="AB38" s="144" t="s">
        <v>538</v>
      </c>
    </row>
    <row r="39" spans="1:28">
      <c r="A39" s="153">
        <v>12</v>
      </c>
      <c r="B39" s="148" t="str">
        <f t="shared" si="1"/>
        <v>Sredstva učešća za pomoći</v>
      </c>
      <c r="C39" s="153">
        <v>3111</v>
      </c>
      <c r="D39" s="148" t="str">
        <f t="shared" si="0"/>
        <v>Plaće za redovan rad</v>
      </c>
      <c r="E39" s="159" t="s">
        <v>755</v>
      </c>
      <c r="F39" s="148" t="str">
        <f t="shared" si="2"/>
        <v>Vrhunska istraživanja Znanstvenih centara izvrsnosti</v>
      </c>
      <c r="G39" s="156">
        <v>54077</v>
      </c>
      <c r="H39" s="156">
        <v>54077</v>
      </c>
      <c r="I39" s="156">
        <v>27039</v>
      </c>
      <c r="J39" s="174"/>
      <c r="K39" s="173" t="s">
        <v>1235</v>
      </c>
      <c r="L39" s="173" t="s">
        <v>404</v>
      </c>
      <c r="M39" s="174" t="s">
        <v>1236</v>
      </c>
      <c r="N39" s="174" t="s">
        <v>1237</v>
      </c>
      <c r="P39" s="144" t="str">
        <f t="shared" si="3"/>
        <v>311</v>
      </c>
      <c r="Q39" s="144" t="str">
        <f t="shared" si="4"/>
        <v>31</v>
      </c>
      <c r="U39" s="144">
        <v>3299</v>
      </c>
      <c r="V39" s="144" t="s">
        <v>59</v>
      </c>
      <c r="X39" s="144" t="str">
        <f t="shared" si="5"/>
        <v>32</v>
      </c>
      <c r="Y39" s="144" t="str">
        <f t="shared" si="6"/>
        <v>329</v>
      </c>
      <c r="AA39" s="144" t="s">
        <v>539</v>
      </c>
      <c r="AB39" s="144" t="s">
        <v>540</v>
      </c>
    </row>
    <row r="40" spans="1:28">
      <c r="A40" s="153">
        <v>12</v>
      </c>
      <c r="B40" s="148" t="str">
        <f t="shared" si="1"/>
        <v>Sredstva učešća za pomoći</v>
      </c>
      <c r="C40" s="153">
        <v>3132</v>
      </c>
      <c r="D40" s="148" t="str">
        <f t="shared" si="0"/>
        <v>Doprinosi za obvezno zdravstveno osiguranje</v>
      </c>
      <c r="E40" s="159" t="s">
        <v>755</v>
      </c>
      <c r="F40" s="148" t="str">
        <f t="shared" si="2"/>
        <v>Vrhunska istraživanja Znanstvenih centara izvrsnosti</v>
      </c>
      <c r="G40" s="156">
        <v>8923</v>
      </c>
      <c r="H40" s="156">
        <v>8923</v>
      </c>
      <c r="I40" s="156">
        <v>4461</v>
      </c>
      <c r="J40" s="174"/>
      <c r="K40" s="173" t="s">
        <v>1235</v>
      </c>
      <c r="L40" s="173" t="s">
        <v>404</v>
      </c>
      <c r="M40" s="174" t="s">
        <v>1236</v>
      </c>
      <c r="N40" s="174" t="s">
        <v>1237</v>
      </c>
      <c r="P40" s="144" t="str">
        <f t="shared" si="3"/>
        <v>313</v>
      </c>
      <c r="Q40" s="144" t="str">
        <f t="shared" si="4"/>
        <v>31</v>
      </c>
      <c r="U40" s="144">
        <v>3411</v>
      </c>
      <c r="V40" s="144" t="s">
        <v>189</v>
      </c>
      <c r="X40" s="144" t="str">
        <f t="shared" si="5"/>
        <v>34</v>
      </c>
      <c r="Y40" s="144" t="str">
        <f t="shared" si="6"/>
        <v>341</v>
      </c>
      <c r="AA40" s="144" t="s">
        <v>541</v>
      </c>
      <c r="AB40" s="144" t="s">
        <v>542</v>
      </c>
    </row>
    <row r="41" spans="1:28">
      <c r="A41" s="153">
        <v>12</v>
      </c>
      <c r="B41" s="148" t="str">
        <f t="shared" si="1"/>
        <v>Sredstva učešća za pomoći</v>
      </c>
      <c r="C41" s="153">
        <v>3213</v>
      </c>
      <c r="D41" s="148" t="str">
        <f t="shared" si="0"/>
        <v>Stručno usavršavanje zaposlenika</v>
      </c>
      <c r="E41" s="159" t="s">
        <v>755</v>
      </c>
      <c r="F41" s="148" t="str">
        <f t="shared" si="2"/>
        <v>Vrhunska istraživanja Znanstvenih centara izvrsnosti</v>
      </c>
      <c r="G41" s="156">
        <v>75000</v>
      </c>
      <c r="H41" s="156">
        <v>75000</v>
      </c>
      <c r="I41" s="156">
        <v>15000</v>
      </c>
      <c r="J41" s="174"/>
      <c r="K41" s="173" t="s">
        <v>1235</v>
      </c>
      <c r="L41" s="173" t="s">
        <v>404</v>
      </c>
      <c r="M41" s="174" t="s">
        <v>1236</v>
      </c>
      <c r="N41" s="174" t="s">
        <v>1237</v>
      </c>
      <c r="P41" s="144" t="str">
        <f t="shared" si="3"/>
        <v>321</v>
      </c>
      <c r="Q41" s="144" t="str">
        <f t="shared" si="4"/>
        <v>32</v>
      </c>
      <c r="U41" s="144">
        <v>3422</v>
      </c>
      <c r="V41" s="144" t="s">
        <v>152</v>
      </c>
      <c r="X41" s="144" t="str">
        <f t="shared" si="5"/>
        <v>34</v>
      </c>
      <c r="Y41" s="144" t="str">
        <f t="shared" si="6"/>
        <v>342</v>
      </c>
      <c r="AA41" s="144" t="s">
        <v>543</v>
      </c>
      <c r="AB41" s="144" t="s">
        <v>544</v>
      </c>
    </row>
    <row r="42" spans="1:28">
      <c r="A42" s="153">
        <v>12</v>
      </c>
      <c r="B42" s="148" t="str">
        <f t="shared" si="1"/>
        <v>Sredstva učešća za pomoći</v>
      </c>
      <c r="C42" s="153">
        <v>3221</v>
      </c>
      <c r="D42" s="148" t="str">
        <f t="shared" si="0"/>
        <v>Uredski materijal i ostali materijalni rashodi</v>
      </c>
      <c r="E42" s="159" t="s">
        <v>755</v>
      </c>
      <c r="F42" s="148" t="str">
        <f t="shared" si="2"/>
        <v>Vrhunska istraživanja Znanstvenih centara izvrsnosti</v>
      </c>
      <c r="G42" s="156">
        <v>150000</v>
      </c>
      <c r="H42" s="156">
        <v>150000</v>
      </c>
      <c r="I42" s="156">
        <v>75000</v>
      </c>
      <c r="J42" s="174"/>
      <c r="K42" s="173" t="s">
        <v>1235</v>
      </c>
      <c r="L42" s="173" t="s">
        <v>404</v>
      </c>
      <c r="M42" s="174" t="s">
        <v>1236</v>
      </c>
      <c r="N42" s="174" t="s">
        <v>1237</v>
      </c>
      <c r="P42" s="144" t="str">
        <f t="shared" si="3"/>
        <v>322</v>
      </c>
      <c r="Q42" s="144" t="str">
        <f t="shared" si="4"/>
        <v>32</v>
      </c>
      <c r="U42" s="144">
        <v>3423</v>
      </c>
      <c r="V42" s="144" t="s">
        <v>152</v>
      </c>
      <c r="X42" s="144" t="str">
        <f t="shared" si="5"/>
        <v>34</v>
      </c>
      <c r="Y42" s="144" t="str">
        <f t="shared" si="6"/>
        <v>342</v>
      </c>
      <c r="AA42" s="144" t="s">
        <v>545</v>
      </c>
      <c r="AB42" s="144" t="s">
        <v>546</v>
      </c>
    </row>
    <row r="43" spans="1:28">
      <c r="A43" s="153">
        <v>12</v>
      </c>
      <c r="B43" s="148" t="str">
        <f t="shared" si="1"/>
        <v>Sredstva učešća za pomoći</v>
      </c>
      <c r="C43" s="153">
        <v>3233</v>
      </c>
      <c r="D43" s="148" t="str">
        <f t="shared" si="0"/>
        <v>Usluge promidžbe i informiranja</v>
      </c>
      <c r="E43" s="159" t="s">
        <v>755</v>
      </c>
      <c r="F43" s="148" t="str">
        <f t="shared" si="2"/>
        <v>Vrhunska istraživanja Znanstvenih centara izvrsnosti</v>
      </c>
      <c r="G43" s="156">
        <v>8700</v>
      </c>
      <c r="H43" s="156">
        <v>8700</v>
      </c>
      <c r="I43" s="156">
        <v>8700</v>
      </c>
      <c r="J43" s="174"/>
      <c r="K43" s="173" t="s">
        <v>1235</v>
      </c>
      <c r="L43" s="173" t="s">
        <v>404</v>
      </c>
      <c r="M43" s="174" t="s">
        <v>1236</v>
      </c>
      <c r="N43" s="174" t="s">
        <v>1237</v>
      </c>
      <c r="P43" s="144" t="str">
        <f t="shared" si="3"/>
        <v>323</v>
      </c>
      <c r="Q43" s="144" t="str">
        <f t="shared" si="4"/>
        <v>32</v>
      </c>
      <c r="U43" s="144">
        <v>3427</v>
      </c>
      <c r="V43" s="144" t="s">
        <v>191</v>
      </c>
      <c r="X43" s="144" t="str">
        <f t="shared" si="5"/>
        <v>34</v>
      </c>
      <c r="Y43" s="144" t="str">
        <f t="shared" si="6"/>
        <v>342</v>
      </c>
      <c r="AA43" s="144" t="s">
        <v>547</v>
      </c>
      <c r="AB43" s="144" t="s">
        <v>548</v>
      </c>
    </row>
    <row r="44" spans="1:28">
      <c r="A44" s="153">
        <v>12</v>
      </c>
      <c r="B44" s="148" t="str">
        <f t="shared" si="1"/>
        <v>Sredstva učešća za pomoći</v>
      </c>
      <c r="C44" s="153">
        <v>3237</v>
      </c>
      <c r="D44" s="148" t="str">
        <f t="shared" si="0"/>
        <v>Intelektualne i osobne usluge</v>
      </c>
      <c r="E44" s="159" t="s">
        <v>755</v>
      </c>
      <c r="F44" s="148" t="str">
        <f t="shared" si="2"/>
        <v>Vrhunska istraživanja Znanstvenih centara izvrsnosti</v>
      </c>
      <c r="G44" s="156">
        <v>61554</v>
      </c>
      <c r="H44" s="156">
        <v>61554</v>
      </c>
      <c r="I44" s="156">
        <v>69054</v>
      </c>
      <c r="J44" s="174"/>
      <c r="K44" s="173" t="s">
        <v>1235</v>
      </c>
      <c r="L44" s="173" t="s">
        <v>404</v>
      </c>
      <c r="M44" s="174" t="s">
        <v>1236</v>
      </c>
      <c r="N44" s="174" t="s">
        <v>1237</v>
      </c>
      <c r="P44" s="144" t="str">
        <f t="shared" si="3"/>
        <v>323</v>
      </c>
      <c r="Q44" s="144" t="str">
        <f t="shared" si="4"/>
        <v>32</v>
      </c>
      <c r="U44" s="144">
        <v>3431</v>
      </c>
      <c r="V44" s="144" t="s">
        <v>84</v>
      </c>
      <c r="X44" s="144" t="str">
        <f t="shared" si="5"/>
        <v>34</v>
      </c>
      <c r="Y44" s="144" t="str">
        <f t="shared" si="6"/>
        <v>343</v>
      </c>
      <c r="AA44" s="144" t="s">
        <v>549</v>
      </c>
      <c r="AB44" s="144" t="s">
        <v>550</v>
      </c>
    </row>
    <row r="45" spans="1:28">
      <c r="A45" s="153">
        <v>12</v>
      </c>
      <c r="B45" s="148" t="str">
        <f t="shared" si="1"/>
        <v>Sredstva učešća za pomoći</v>
      </c>
      <c r="C45" s="153">
        <v>3238</v>
      </c>
      <c r="D45" s="148" t="str">
        <f t="shared" si="0"/>
        <v>Računalne usluge</v>
      </c>
      <c r="E45" s="159" t="s">
        <v>755</v>
      </c>
      <c r="F45" s="148" t="str">
        <f t="shared" si="2"/>
        <v>Vrhunska istraživanja Znanstvenih centara izvrsnosti</v>
      </c>
      <c r="G45" s="156">
        <v>1564</v>
      </c>
      <c r="H45" s="156">
        <v>1564</v>
      </c>
      <c r="I45" s="156">
        <v>996</v>
      </c>
      <c r="J45" s="174"/>
      <c r="K45" s="173" t="s">
        <v>1235</v>
      </c>
      <c r="L45" s="173" t="s">
        <v>404</v>
      </c>
      <c r="M45" s="174" t="s">
        <v>1236</v>
      </c>
      <c r="N45" s="174" t="s">
        <v>1237</v>
      </c>
      <c r="P45" s="144" t="str">
        <f t="shared" si="3"/>
        <v>323</v>
      </c>
      <c r="Q45" s="144" t="str">
        <f t="shared" si="4"/>
        <v>32</v>
      </c>
      <c r="U45" s="144">
        <v>3432</v>
      </c>
      <c r="V45" s="144" t="s">
        <v>100</v>
      </c>
      <c r="X45" s="144" t="str">
        <f t="shared" si="5"/>
        <v>34</v>
      </c>
      <c r="Y45" s="144" t="str">
        <f t="shared" si="6"/>
        <v>343</v>
      </c>
      <c r="AA45" s="144" t="s">
        <v>551</v>
      </c>
      <c r="AB45" s="144" t="s">
        <v>552</v>
      </c>
    </row>
    <row r="46" spans="1:28">
      <c r="A46" s="153">
        <v>12</v>
      </c>
      <c r="B46" s="148" t="str">
        <f t="shared" si="1"/>
        <v>Sredstva učešća za pomoći</v>
      </c>
      <c r="C46" s="153">
        <v>3693</v>
      </c>
      <c r="D46" s="148" t="str">
        <f t="shared" si="0"/>
        <v>Tekući prijenosi između proračunskih korisnika istog proraču</v>
      </c>
      <c r="E46" s="159" t="s">
        <v>755</v>
      </c>
      <c r="F46" s="148" t="str">
        <f t="shared" si="2"/>
        <v>Vrhunska istraživanja Znanstvenih centara izvrsnosti</v>
      </c>
      <c r="G46" s="156">
        <v>774384</v>
      </c>
      <c r="H46" s="156">
        <v>683395</v>
      </c>
      <c r="I46" s="156">
        <v>842270</v>
      </c>
      <c r="J46" s="174"/>
      <c r="K46" s="173" t="s">
        <v>1235</v>
      </c>
      <c r="L46" s="173" t="s">
        <v>404</v>
      </c>
      <c r="M46" s="174" t="s">
        <v>1236</v>
      </c>
      <c r="N46" s="174" t="s">
        <v>1237</v>
      </c>
      <c r="P46" s="144" t="str">
        <f t="shared" si="3"/>
        <v>369</v>
      </c>
      <c r="Q46" s="144" t="str">
        <f t="shared" si="4"/>
        <v>36</v>
      </c>
      <c r="U46" s="144">
        <v>3433</v>
      </c>
      <c r="V46" s="144" t="s">
        <v>139</v>
      </c>
      <c r="X46" s="144" t="str">
        <f t="shared" si="5"/>
        <v>34</v>
      </c>
      <c r="Y46" s="144" t="str">
        <f t="shared" si="6"/>
        <v>343</v>
      </c>
      <c r="AA46" s="144" t="s">
        <v>553</v>
      </c>
      <c r="AB46" s="144" t="s">
        <v>554</v>
      </c>
    </row>
    <row r="47" spans="1:28">
      <c r="A47" s="153">
        <v>12</v>
      </c>
      <c r="B47" s="148" t="str">
        <f t="shared" si="1"/>
        <v>Sredstva učešća za pomoći</v>
      </c>
      <c r="C47" s="153">
        <v>4224</v>
      </c>
      <c r="D47" s="148" t="str">
        <f t="shared" si="0"/>
        <v>Medicinska i laboratorijska oprema</v>
      </c>
      <c r="E47" s="159" t="s">
        <v>755</v>
      </c>
      <c r="F47" s="148" t="str">
        <f t="shared" si="2"/>
        <v>Vrhunska istraživanja Znanstvenih centara izvrsnosti</v>
      </c>
      <c r="G47" s="156">
        <v>750000</v>
      </c>
      <c r="H47" s="156">
        <v>150000</v>
      </c>
      <c r="I47" s="156">
        <v>225000</v>
      </c>
      <c r="J47" s="174"/>
      <c r="K47" s="173" t="s">
        <v>1235</v>
      </c>
      <c r="L47" s="173" t="s">
        <v>404</v>
      </c>
      <c r="M47" s="174" t="s">
        <v>1236</v>
      </c>
      <c r="N47" s="174" t="s">
        <v>1237</v>
      </c>
      <c r="P47" s="144" t="str">
        <f t="shared" si="3"/>
        <v>422</v>
      </c>
      <c r="Q47" s="144" t="str">
        <f t="shared" si="4"/>
        <v>42</v>
      </c>
      <c r="U47" s="144">
        <v>3434</v>
      </c>
      <c r="V47" s="144" t="s">
        <v>69</v>
      </c>
      <c r="X47" s="144" t="str">
        <f t="shared" si="5"/>
        <v>34</v>
      </c>
      <c r="Y47" s="144" t="str">
        <f t="shared" si="6"/>
        <v>343</v>
      </c>
      <c r="AA47" s="144" t="s">
        <v>555</v>
      </c>
      <c r="AB47" s="144" t="s">
        <v>556</v>
      </c>
    </row>
    <row r="48" spans="1:28">
      <c r="A48" s="153">
        <v>563</v>
      </c>
      <c r="B48" s="148" t="str">
        <f t="shared" si="1"/>
        <v>Europski fond za regionalni razvoj (ERDF)</v>
      </c>
      <c r="C48" s="153">
        <v>3111</v>
      </c>
      <c r="D48" s="148" t="str">
        <f t="shared" si="0"/>
        <v>Plaće za redovan rad</v>
      </c>
      <c r="E48" s="159" t="s">
        <v>755</v>
      </c>
      <c r="F48" s="148" t="str">
        <f t="shared" si="2"/>
        <v>Vrhunska istraživanja Znanstvenih centara izvrsnosti</v>
      </c>
      <c r="G48" s="156">
        <v>306438</v>
      </c>
      <c r="H48" s="156">
        <v>306438</v>
      </c>
      <c r="I48" s="156">
        <v>153221</v>
      </c>
      <c r="J48" s="174"/>
      <c r="K48" s="173" t="s">
        <v>1235</v>
      </c>
      <c r="L48" s="173" t="s">
        <v>404</v>
      </c>
      <c r="M48" s="174" t="s">
        <v>1236</v>
      </c>
      <c r="N48" s="174" t="s">
        <v>1237</v>
      </c>
      <c r="P48" s="144" t="str">
        <f t="shared" si="3"/>
        <v>311</v>
      </c>
      <c r="Q48" s="144" t="str">
        <f t="shared" si="4"/>
        <v>31</v>
      </c>
      <c r="U48" s="144">
        <v>3511</v>
      </c>
      <c r="V48" s="144" t="s">
        <v>182</v>
      </c>
      <c r="X48" s="144" t="str">
        <f t="shared" si="5"/>
        <v>35</v>
      </c>
      <c r="Y48" s="144" t="str">
        <f t="shared" si="6"/>
        <v>351</v>
      </c>
      <c r="AA48" s="144" t="s">
        <v>557</v>
      </c>
      <c r="AB48" s="144" t="s">
        <v>558</v>
      </c>
    </row>
    <row r="49" spans="1:28">
      <c r="A49" s="153">
        <v>563</v>
      </c>
      <c r="B49" s="148" t="str">
        <f t="shared" si="1"/>
        <v>Europski fond za regionalni razvoj (ERDF)</v>
      </c>
      <c r="C49" s="153">
        <v>3132</v>
      </c>
      <c r="D49" s="148" t="str">
        <f t="shared" si="0"/>
        <v>Doprinosi za obvezno zdravstveno osiguranje</v>
      </c>
      <c r="E49" s="159" t="s">
        <v>755</v>
      </c>
      <c r="F49" s="148" t="str">
        <f t="shared" si="2"/>
        <v>Vrhunska istraživanja Znanstvenih centara izvrsnosti</v>
      </c>
      <c r="G49" s="156">
        <v>50562</v>
      </c>
      <c r="H49" s="156">
        <v>50562</v>
      </c>
      <c r="I49" s="156">
        <v>25279</v>
      </c>
      <c r="J49" s="174"/>
      <c r="K49" s="173" t="s">
        <v>1235</v>
      </c>
      <c r="L49" s="173" t="s">
        <v>404</v>
      </c>
      <c r="M49" s="174" t="s">
        <v>1236</v>
      </c>
      <c r="N49" s="174" t="s">
        <v>1237</v>
      </c>
      <c r="P49" s="144" t="str">
        <f t="shared" si="3"/>
        <v>313</v>
      </c>
      <c r="Q49" s="144" t="str">
        <f t="shared" si="4"/>
        <v>31</v>
      </c>
      <c r="U49" s="144">
        <v>3512</v>
      </c>
      <c r="V49" s="144" t="s">
        <v>184</v>
      </c>
      <c r="X49" s="144" t="str">
        <f t="shared" si="5"/>
        <v>35</v>
      </c>
      <c r="Y49" s="144" t="str">
        <f t="shared" si="6"/>
        <v>351</v>
      </c>
      <c r="AA49" s="144" t="s">
        <v>559</v>
      </c>
      <c r="AB49" s="144" t="s">
        <v>560</v>
      </c>
    </row>
    <row r="50" spans="1:28">
      <c r="A50" s="153">
        <v>563</v>
      </c>
      <c r="B50" s="148" t="str">
        <f t="shared" si="1"/>
        <v>Europski fond za regionalni razvoj (ERDF)</v>
      </c>
      <c r="C50" s="153">
        <v>3213</v>
      </c>
      <c r="D50" s="148" t="str">
        <f t="shared" si="0"/>
        <v>Stručno usavršavanje zaposlenika</v>
      </c>
      <c r="E50" s="159" t="s">
        <v>755</v>
      </c>
      <c r="F50" s="148" t="str">
        <f t="shared" si="2"/>
        <v>Vrhunska istraživanja Znanstvenih centara izvrsnosti</v>
      </c>
      <c r="G50" s="156">
        <v>425000</v>
      </c>
      <c r="H50" s="156">
        <v>425000</v>
      </c>
      <c r="I50" s="156">
        <v>85000</v>
      </c>
      <c r="J50" s="174"/>
      <c r="K50" s="173" t="s">
        <v>1235</v>
      </c>
      <c r="L50" s="173" t="s">
        <v>404</v>
      </c>
      <c r="M50" s="174" t="s">
        <v>1236</v>
      </c>
      <c r="N50" s="174" t="s">
        <v>1237</v>
      </c>
      <c r="P50" s="144" t="str">
        <f t="shared" si="3"/>
        <v>321</v>
      </c>
      <c r="Q50" s="144" t="str">
        <f t="shared" si="4"/>
        <v>32</v>
      </c>
      <c r="U50" s="144">
        <v>3522</v>
      </c>
      <c r="V50" s="144" t="s">
        <v>271</v>
      </c>
      <c r="X50" s="144" t="str">
        <f t="shared" si="5"/>
        <v>35</v>
      </c>
      <c r="Y50" s="144" t="str">
        <f t="shared" si="6"/>
        <v>352</v>
      </c>
      <c r="AA50" s="144" t="s">
        <v>561</v>
      </c>
      <c r="AB50" s="144" t="s">
        <v>562</v>
      </c>
    </row>
    <row r="51" spans="1:28">
      <c r="A51" s="153">
        <v>563</v>
      </c>
      <c r="B51" s="148" t="str">
        <f t="shared" si="1"/>
        <v>Europski fond za regionalni razvoj (ERDF)</v>
      </c>
      <c r="C51" s="153">
        <v>3221</v>
      </c>
      <c r="D51" s="148" t="str">
        <f t="shared" si="0"/>
        <v>Uredski materijal i ostali materijalni rashodi</v>
      </c>
      <c r="E51" s="159" t="s">
        <v>755</v>
      </c>
      <c r="F51" s="148" t="str">
        <f t="shared" si="2"/>
        <v>Vrhunska istraživanja Znanstvenih centara izvrsnosti</v>
      </c>
      <c r="G51" s="156">
        <v>850000</v>
      </c>
      <c r="H51" s="156">
        <v>850000</v>
      </c>
      <c r="I51" s="156">
        <v>425000</v>
      </c>
      <c r="J51" s="174"/>
      <c r="K51" s="173" t="s">
        <v>1235</v>
      </c>
      <c r="L51" s="173" t="s">
        <v>404</v>
      </c>
      <c r="M51" s="174" t="s">
        <v>1236</v>
      </c>
      <c r="N51" s="174" t="s">
        <v>1237</v>
      </c>
      <c r="P51" s="144" t="str">
        <f t="shared" si="3"/>
        <v>322</v>
      </c>
      <c r="Q51" s="144" t="str">
        <f t="shared" si="4"/>
        <v>32</v>
      </c>
      <c r="U51" s="144">
        <v>3531</v>
      </c>
      <c r="V51" s="144" t="s">
        <v>136</v>
      </c>
      <c r="X51" s="144" t="str">
        <f t="shared" si="5"/>
        <v>35</v>
      </c>
      <c r="Y51" s="144" t="str">
        <f t="shared" si="6"/>
        <v>353</v>
      </c>
      <c r="AA51" s="144" t="s">
        <v>563</v>
      </c>
      <c r="AB51" s="144" t="s">
        <v>564</v>
      </c>
    </row>
    <row r="52" spans="1:28">
      <c r="A52" s="153">
        <v>563</v>
      </c>
      <c r="B52" s="148" t="str">
        <f t="shared" si="1"/>
        <v>Europski fond za regionalni razvoj (ERDF)</v>
      </c>
      <c r="C52" s="153">
        <v>3233</v>
      </c>
      <c r="D52" s="148" t="str">
        <f t="shared" si="0"/>
        <v>Usluge promidžbe i informiranja</v>
      </c>
      <c r="E52" s="159" t="s">
        <v>755</v>
      </c>
      <c r="F52" s="148" t="str">
        <f t="shared" si="2"/>
        <v>Vrhunska istraživanja Znanstvenih centara izvrsnosti</v>
      </c>
      <c r="G52" s="156">
        <v>49300</v>
      </c>
      <c r="H52" s="156">
        <v>49300</v>
      </c>
      <c r="I52" s="156">
        <v>49300</v>
      </c>
      <c r="J52" s="174"/>
      <c r="K52" s="173" t="s">
        <v>1235</v>
      </c>
      <c r="L52" s="173" t="s">
        <v>404</v>
      </c>
      <c r="M52" s="174" t="s">
        <v>1236</v>
      </c>
      <c r="N52" s="174" t="s">
        <v>1237</v>
      </c>
      <c r="P52" s="144" t="str">
        <f t="shared" si="3"/>
        <v>323</v>
      </c>
      <c r="Q52" s="144" t="str">
        <f t="shared" si="4"/>
        <v>32</v>
      </c>
      <c r="U52" s="144">
        <v>3611</v>
      </c>
      <c r="V52" s="144" t="s">
        <v>89</v>
      </c>
      <c r="X52" s="144" t="str">
        <f t="shared" si="5"/>
        <v>36</v>
      </c>
      <c r="Y52" s="144" t="str">
        <f t="shared" si="6"/>
        <v>361</v>
      </c>
      <c r="AA52" s="144" t="s">
        <v>565</v>
      </c>
      <c r="AB52" s="144" t="s">
        <v>566</v>
      </c>
    </row>
    <row r="53" spans="1:28">
      <c r="A53" s="153">
        <v>563</v>
      </c>
      <c r="B53" s="148" t="str">
        <f t="shared" si="1"/>
        <v>Europski fond za regionalni razvoj (ERDF)</v>
      </c>
      <c r="C53" s="153">
        <v>3237</v>
      </c>
      <c r="D53" s="148" t="str">
        <f t="shared" si="0"/>
        <v>Intelektualne i osobne usluge</v>
      </c>
      <c r="E53" s="159" t="s">
        <v>755</v>
      </c>
      <c r="F53" s="148" t="str">
        <f t="shared" si="2"/>
        <v>Vrhunska istraživanja Znanstvenih centara izvrsnosti</v>
      </c>
      <c r="G53" s="156">
        <v>348806</v>
      </c>
      <c r="H53" s="156">
        <v>348806</v>
      </c>
      <c r="I53" s="156">
        <v>391306</v>
      </c>
      <c r="J53" s="174"/>
      <c r="K53" s="173" t="s">
        <v>1235</v>
      </c>
      <c r="L53" s="173" t="s">
        <v>404</v>
      </c>
      <c r="M53" s="174" t="s">
        <v>1236</v>
      </c>
      <c r="N53" s="174" t="s">
        <v>1237</v>
      </c>
      <c r="P53" s="144" t="str">
        <f t="shared" si="3"/>
        <v>323</v>
      </c>
      <c r="Q53" s="144" t="str">
        <f t="shared" si="4"/>
        <v>32</v>
      </c>
      <c r="U53" s="144">
        <v>3621</v>
      </c>
      <c r="V53" s="144" t="s">
        <v>140</v>
      </c>
      <c r="X53" s="144" t="str">
        <f t="shared" si="5"/>
        <v>36</v>
      </c>
      <c r="Y53" s="144" t="str">
        <f t="shared" si="6"/>
        <v>362</v>
      </c>
      <c r="AA53" s="144" t="s">
        <v>567</v>
      </c>
      <c r="AB53" s="144" t="s">
        <v>568</v>
      </c>
    </row>
    <row r="54" spans="1:28">
      <c r="A54" s="153">
        <v>563</v>
      </c>
      <c r="B54" s="148" t="str">
        <f t="shared" si="1"/>
        <v>Europski fond za regionalni razvoj (ERDF)</v>
      </c>
      <c r="C54" s="153">
        <v>3238</v>
      </c>
      <c r="D54" s="148" t="str">
        <f t="shared" si="0"/>
        <v>Računalne usluge</v>
      </c>
      <c r="E54" s="159" t="s">
        <v>755</v>
      </c>
      <c r="F54" s="148" t="str">
        <f t="shared" si="2"/>
        <v>Vrhunska istraživanja Znanstvenih centara izvrsnosti</v>
      </c>
      <c r="G54" s="156">
        <v>8861</v>
      </c>
      <c r="H54" s="156">
        <v>8861</v>
      </c>
      <c r="I54" s="156">
        <v>5644</v>
      </c>
      <c r="J54" s="174"/>
      <c r="K54" s="173" t="s">
        <v>1235</v>
      </c>
      <c r="L54" s="173" t="s">
        <v>404</v>
      </c>
      <c r="M54" s="174" t="s">
        <v>1236</v>
      </c>
      <c r="N54" s="174" t="s">
        <v>1237</v>
      </c>
      <c r="P54" s="144" t="str">
        <f t="shared" si="3"/>
        <v>323</v>
      </c>
      <c r="Q54" s="144" t="str">
        <f t="shared" si="4"/>
        <v>32</v>
      </c>
      <c r="U54" s="144">
        <v>3631</v>
      </c>
      <c r="V54" s="144" t="s">
        <v>181</v>
      </c>
      <c r="X54" s="144" t="str">
        <f t="shared" si="5"/>
        <v>36</v>
      </c>
      <c r="Y54" s="144" t="str">
        <f t="shared" si="6"/>
        <v>363</v>
      </c>
      <c r="AA54" s="144" t="s">
        <v>569</v>
      </c>
      <c r="AB54" s="144" t="s">
        <v>570</v>
      </c>
    </row>
    <row r="55" spans="1:28">
      <c r="A55" s="153">
        <v>563</v>
      </c>
      <c r="B55" s="148" t="str">
        <f t="shared" si="1"/>
        <v>Europski fond za regionalni razvoj (ERDF)</v>
      </c>
      <c r="C55" s="153">
        <v>3693</v>
      </c>
      <c r="D55" s="148" t="str">
        <f t="shared" si="0"/>
        <v>Tekući prijenosi između proračunskih korisnika istog proraču</v>
      </c>
      <c r="E55" s="159" t="s">
        <v>755</v>
      </c>
      <c r="F55" s="148" t="str">
        <f t="shared" si="2"/>
        <v>Vrhunska istraživanja Znanstvenih centara izvrsnosti</v>
      </c>
      <c r="G55" s="156">
        <v>4388175</v>
      </c>
      <c r="H55" s="156">
        <v>3872571</v>
      </c>
      <c r="I55" s="156">
        <v>4772868</v>
      </c>
      <c r="J55" s="174"/>
      <c r="K55" s="173" t="s">
        <v>1235</v>
      </c>
      <c r="L55" s="173" t="s">
        <v>404</v>
      </c>
      <c r="M55" s="174" t="s">
        <v>1236</v>
      </c>
      <c r="N55" s="174" t="s">
        <v>1237</v>
      </c>
      <c r="P55" s="144" t="str">
        <f t="shared" si="3"/>
        <v>369</v>
      </c>
      <c r="Q55" s="144" t="str">
        <f t="shared" si="4"/>
        <v>36</v>
      </c>
      <c r="U55" s="144">
        <v>3632</v>
      </c>
      <c r="V55" s="144" t="s">
        <v>272</v>
      </c>
      <c r="X55" s="144" t="str">
        <f t="shared" si="5"/>
        <v>36</v>
      </c>
      <c r="Y55" s="144" t="str">
        <f t="shared" si="6"/>
        <v>363</v>
      </c>
      <c r="AA55" s="144" t="s">
        <v>571</v>
      </c>
      <c r="AB55" s="144" t="s">
        <v>572</v>
      </c>
    </row>
    <row r="56" spans="1:28">
      <c r="A56" s="153">
        <v>563</v>
      </c>
      <c r="B56" s="148" t="str">
        <f t="shared" si="1"/>
        <v>Europski fond za regionalni razvoj (ERDF)</v>
      </c>
      <c r="C56" s="153">
        <v>4224</v>
      </c>
      <c r="D56" s="148" t="str">
        <f t="shared" si="0"/>
        <v>Medicinska i laboratorijska oprema</v>
      </c>
      <c r="E56" s="159" t="s">
        <v>755</v>
      </c>
      <c r="F56" s="148" t="str">
        <f t="shared" si="2"/>
        <v>Vrhunska istraživanja Znanstvenih centara izvrsnosti</v>
      </c>
      <c r="G56" s="156">
        <v>4250000</v>
      </c>
      <c r="H56" s="156">
        <v>850000</v>
      </c>
      <c r="I56" s="156">
        <v>1275000</v>
      </c>
      <c r="J56" s="174"/>
      <c r="K56" s="173" t="s">
        <v>1235</v>
      </c>
      <c r="L56" s="173" t="s">
        <v>404</v>
      </c>
      <c r="M56" s="174" t="s">
        <v>1236</v>
      </c>
      <c r="N56" s="174" t="s">
        <v>1237</v>
      </c>
      <c r="P56" s="144" t="str">
        <f t="shared" si="3"/>
        <v>422</v>
      </c>
      <c r="Q56" s="144" t="str">
        <f t="shared" si="4"/>
        <v>42</v>
      </c>
      <c r="U56" s="144">
        <v>3661</v>
      </c>
      <c r="V56" s="144" t="s">
        <v>101</v>
      </c>
      <c r="X56" s="144" t="str">
        <f t="shared" si="5"/>
        <v>36</v>
      </c>
      <c r="Y56" s="144" t="str">
        <f t="shared" si="6"/>
        <v>366</v>
      </c>
      <c r="AA56" s="144" t="s">
        <v>573</v>
      </c>
      <c r="AB56" s="144" t="s">
        <v>574</v>
      </c>
    </row>
    <row r="57" spans="1:28">
      <c r="A57" s="153">
        <v>563</v>
      </c>
      <c r="B57" s="148" t="str">
        <f t="shared" si="1"/>
        <v>Europski fond za regionalni razvoj (ERDF)</v>
      </c>
      <c r="C57" s="153">
        <v>3233</v>
      </c>
      <c r="D57" s="148" t="str">
        <f t="shared" si="0"/>
        <v>Usluge promidžbe i informiranja</v>
      </c>
      <c r="E57" s="159" t="s">
        <v>759</v>
      </c>
      <c r="F57" s="148" t="str">
        <f t="shared" si="2"/>
        <v>Poziv Modernizacija, unaprjeđenje i proširenje infrastrukture studentskog smještaja za studente u nepovoljnom položaju</v>
      </c>
      <c r="G57" s="156">
        <v>185938</v>
      </c>
      <c r="H57" s="156"/>
      <c r="I57" s="156"/>
      <c r="J57" s="174"/>
      <c r="K57" s="173" t="s">
        <v>1238</v>
      </c>
      <c r="L57" s="173" t="s">
        <v>34</v>
      </c>
      <c r="M57" s="174" t="s">
        <v>1236</v>
      </c>
      <c r="N57" s="174" t="s">
        <v>1239</v>
      </c>
      <c r="P57" s="144" t="str">
        <f t="shared" si="3"/>
        <v>323</v>
      </c>
      <c r="Q57" s="144" t="str">
        <f t="shared" si="4"/>
        <v>32</v>
      </c>
      <c r="U57" s="144">
        <v>3662</v>
      </c>
      <c r="V57" s="144" t="s">
        <v>185</v>
      </c>
      <c r="X57" s="144" t="str">
        <f t="shared" si="5"/>
        <v>36</v>
      </c>
      <c r="Y57" s="144" t="str">
        <f t="shared" si="6"/>
        <v>366</v>
      </c>
      <c r="AA57" s="144" t="s">
        <v>575</v>
      </c>
      <c r="AB57" s="144" t="s">
        <v>576</v>
      </c>
    </row>
    <row r="58" spans="1:28">
      <c r="A58" s="153">
        <v>563</v>
      </c>
      <c r="B58" s="148" t="str">
        <f t="shared" si="1"/>
        <v>Europski fond za regionalni razvoj (ERDF)</v>
      </c>
      <c r="C58" s="153">
        <v>3237</v>
      </c>
      <c r="D58" s="148" t="str">
        <f t="shared" si="0"/>
        <v>Intelektualne i osobne usluge</v>
      </c>
      <c r="E58" s="159" t="s">
        <v>759</v>
      </c>
      <c r="F58" s="148" t="str">
        <f t="shared" si="2"/>
        <v>Poziv Modernizacija, unaprjeđenje i proširenje infrastrukture studentskog smještaja za studente u nepovoljnom položaju</v>
      </c>
      <c r="G58" s="156">
        <v>113076</v>
      </c>
      <c r="H58" s="156"/>
      <c r="I58" s="156"/>
      <c r="J58" s="174"/>
      <c r="K58" s="173" t="s">
        <v>1238</v>
      </c>
      <c r="L58" s="173" t="s">
        <v>34</v>
      </c>
      <c r="M58" s="174" t="s">
        <v>1236</v>
      </c>
      <c r="N58" s="174" t="s">
        <v>1239</v>
      </c>
      <c r="P58" s="144" t="str">
        <f t="shared" si="3"/>
        <v>323</v>
      </c>
      <c r="Q58" s="144" t="str">
        <f t="shared" si="4"/>
        <v>32</v>
      </c>
      <c r="U58" s="144">
        <v>3681</v>
      </c>
      <c r="V58" s="144" t="s">
        <v>16</v>
      </c>
      <c r="X58" s="144" t="str">
        <f t="shared" si="5"/>
        <v>36</v>
      </c>
      <c r="Y58" s="144" t="str">
        <f t="shared" si="6"/>
        <v>368</v>
      </c>
      <c r="AA58" s="144" t="s">
        <v>137</v>
      </c>
      <c r="AB58" s="144" t="s">
        <v>440</v>
      </c>
    </row>
    <row r="59" spans="1:28">
      <c r="A59" s="153">
        <v>563</v>
      </c>
      <c r="B59" s="148" t="str">
        <f t="shared" si="1"/>
        <v>Europski fond za regionalni razvoj (ERDF)</v>
      </c>
      <c r="C59" s="153">
        <v>4212</v>
      </c>
      <c r="D59" s="148" t="str">
        <f t="shared" si="0"/>
        <v>Poslovni objekti</v>
      </c>
      <c r="E59" s="159" t="s">
        <v>759</v>
      </c>
      <c r="F59" s="148" t="str">
        <f t="shared" si="2"/>
        <v>Poziv Modernizacija, unaprjeđenje i proširenje infrastrukture studentskog smještaja za studente u nepovoljnom položaju</v>
      </c>
      <c r="G59" s="156">
        <v>51237418</v>
      </c>
      <c r="H59" s="156"/>
      <c r="I59" s="156"/>
      <c r="J59" s="174"/>
      <c r="K59" s="173" t="s">
        <v>1238</v>
      </c>
      <c r="L59" s="173" t="s">
        <v>34</v>
      </c>
      <c r="M59" s="174" t="s">
        <v>1236</v>
      </c>
      <c r="N59" s="174" t="s">
        <v>1239</v>
      </c>
      <c r="P59" s="144" t="str">
        <f t="shared" si="3"/>
        <v>421</v>
      </c>
      <c r="Q59" s="144" t="str">
        <f t="shared" si="4"/>
        <v>42</v>
      </c>
      <c r="U59" s="144">
        <v>3682</v>
      </c>
      <c r="V59" s="144" t="s">
        <v>17</v>
      </c>
      <c r="X59" s="144" t="str">
        <f t="shared" si="5"/>
        <v>36</v>
      </c>
      <c r="Y59" s="144" t="str">
        <f t="shared" si="6"/>
        <v>368</v>
      </c>
      <c r="AA59" s="144" t="s">
        <v>577</v>
      </c>
      <c r="AB59" s="144" t="s">
        <v>578</v>
      </c>
    </row>
    <row r="60" spans="1:28">
      <c r="A60" s="153">
        <v>563</v>
      </c>
      <c r="B60" s="148" t="str">
        <f t="shared" si="1"/>
        <v>Europski fond za regionalni razvoj (ERDF)</v>
      </c>
      <c r="C60" s="153">
        <v>4221</v>
      </c>
      <c r="D60" s="148" t="str">
        <f t="shared" si="0"/>
        <v>Uredska oprema i namještaj</v>
      </c>
      <c r="E60" s="159" t="s">
        <v>759</v>
      </c>
      <c r="F60" s="148" t="str">
        <f t="shared" si="2"/>
        <v>Poziv Modernizacija, unaprjeđenje i proširenje infrastrukture studentskog smještaja za studente u nepovoljnom položaju</v>
      </c>
      <c r="G60" s="156">
        <v>13626095</v>
      </c>
      <c r="H60" s="156"/>
      <c r="I60" s="156"/>
      <c r="J60" s="174"/>
      <c r="K60" s="173" t="s">
        <v>1238</v>
      </c>
      <c r="L60" s="173" t="s">
        <v>34</v>
      </c>
      <c r="M60" s="174" t="s">
        <v>1236</v>
      </c>
      <c r="N60" s="174" t="s">
        <v>1239</v>
      </c>
      <c r="P60" s="144" t="str">
        <f t="shared" si="3"/>
        <v>422</v>
      </c>
      <c r="Q60" s="144" t="str">
        <f t="shared" si="4"/>
        <v>42</v>
      </c>
      <c r="U60" s="144">
        <v>3691</v>
      </c>
      <c r="V60" s="144" t="s">
        <v>106</v>
      </c>
      <c r="X60" s="144" t="str">
        <f t="shared" si="5"/>
        <v>36</v>
      </c>
      <c r="Y60" s="144" t="str">
        <f t="shared" si="6"/>
        <v>369</v>
      </c>
      <c r="AA60" s="144" t="s">
        <v>579</v>
      </c>
      <c r="AB60" s="144" t="s">
        <v>580</v>
      </c>
    </row>
    <row r="61" spans="1:28">
      <c r="A61" s="153">
        <v>12</v>
      </c>
      <c r="B61" s="148" t="str">
        <f t="shared" si="1"/>
        <v>Sredstva učešća za pomoći</v>
      </c>
      <c r="C61" s="153">
        <v>4212</v>
      </c>
      <c r="D61" s="148" t="str">
        <f t="shared" si="0"/>
        <v>Poslovni objekti</v>
      </c>
      <c r="E61" s="159" t="s">
        <v>759</v>
      </c>
      <c r="F61" s="148" t="str">
        <f t="shared" si="2"/>
        <v>Poziv Modernizacija, unaprjeđenje i proširenje infrastrukture studentskog smještaja za studente u nepovoljnom položaju</v>
      </c>
      <c r="G61" s="156">
        <v>9617442</v>
      </c>
      <c r="H61" s="156"/>
      <c r="I61" s="156"/>
      <c r="J61" s="174"/>
      <c r="K61" s="173" t="s">
        <v>1238</v>
      </c>
      <c r="L61" s="173" t="s">
        <v>34</v>
      </c>
      <c r="M61" s="174" t="s">
        <v>1240</v>
      </c>
      <c r="N61" s="174" t="s">
        <v>1239</v>
      </c>
      <c r="P61" s="144" t="str">
        <f t="shared" si="3"/>
        <v>421</v>
      </c>
      <c r="Q61" s="144" t="str">
        <f t="shared" si="4"/>
        <v>42</v>
      </c>
      <c r="U61" s="144">
        <v>3692</v>
      </c>
      <c r="V61" s="144" t="s">
        <v>179</v>
      </c>
      <c r="X61" s="144" t="str">
        <f t="shared" si="5"/>
        <v>36</v>
      </c>
      <c r="Y61" s="144" t="str">
        <f t="shared" si="6"/>
        <v>369</v>
      </c>
      <c r="AA61" s="144" t="s">
        <v>581</v>
      </c>
      <c r="AB61" s="144" t="s">
        <v>582</v>
      </c>
    </row>
    <row r="62" spans="1:28">
      <c r="A62" s="153">
        <v>12</v>
      </c>
      <c r="B62" s="148" t="str">
        <f t="shared" si="1"/>
        <v>Sredstva učešća za pomoći</v>
      </c>
      <c r="C62" s="153">
        <v>3233</v>
      </c>
      <c r="D62" s="148" t="str">
        <f t="shared" si="0"/>
        <v>Usluge promidžbe i informiranja</v>
      </c>
      <c r="E62" s="159" t="s">
        <v>759</v>
      </c>
      <c r="F62" s="148" t="str">
        <f t="shared" si="2"/>
        <v>Poziv Modernizacija, unaprjeđenje i proširenje infrastrukture studentskog smještaja za studente u nepovoljnom položaju</v>
      </c>
      <c r="G62" s="156">
        <v>32812</v>
      </c>
      <c r="H62" s="156"/>
      <c r="I62" s="156"/>
      <c r="J62" s="174"/>
      <c r="K62" s="173" t="s">
        <v>1238</v>
      </c>
      <c r="L62" s="173" t="s">
        <v>34</v>
      </c>
      <c r="M62" s="174" t="s">
        <v>1236</v>
      </c>
      <c r="N62" s="174" t="s">
        <v>1239</v>
      </c>
      <c r="P62" s="144" t="str">
        <f t="shared" si="3"/>
        <v>323</v>
      </c>
      <c r="Q62" s="144" t="str">
        <f t="shared" si="4"/>
        <v>32</v>
      </c>
      <c r="U62" s="144">
        <v>3693</v>
      </c>
      <c r="V62" s="144" t="s">
        <v>106</v>
      </c>
      <c r="X62" s="144" t="str">
        <f t="shared" si="5"/>
        <v>36</v>
      </c>
      <c r="Y62" s="144" t="str">
        <f t="shared" si="6"/>
        <v>369</v>
      </c>
      <c r="AA62" s="144" t="s">
        <v>583</v>
      </c>
      <c r="AB62" s="144" t="s">
        <v>584</v>
      </c>
    </row>
    <row r="63" spans="1:28">
      <c r="A63" s="153">
        <v>12</v>
      </c>
      <c r="B63" s="148" t="str">
        <f t="shared" si="1"/>
        <v>Sredstva učešća za pomoći</v>
      </c>
      <c r="C63" s="153">
        <v>3237</v>
      </c>
      <c r="D63" s="148" t="str">
        <f t="shared" si="0"/>
        <v>Intelektualne i osobne usluge</v>
      </c>
      <c r="E63" s="159" t="s">
        <v>759</v>
      </c>
      <c r="F63" s="148" t="str">
        <f t="shared" si="2"/>
        <v>Poziv Modernizacija, unaprjeđenje i proširenje infrastrukture studentskog smještaja za studente u nepovoljnom položaju</v>
      </c>
      <c r="G63" s="156">
        <v>19955</v>
      </c>
      <c r="H63" s="156"/>
      <c r="I63" s="156"/>
      <c r="J63" s="174"/>
      <c r="K63" s="173" t="s">
        <v>1238</v>
      </c>
      <c r="L63" s="173" t="s">
        <v>34</v>
      </c>
      <c r="M63" s="174" t="s">
        <v>1236</v>
      </c>
      <c r="N63" s="174" t="s">
        <v>1239</v>
      </c>
      <c r="P63" s="144" t="str">
        <f t="shared" si="3"/>
        <v>323</v>
      </c>
      <c r="Q63" s="144" t="str">
        <f t="shared" si="4"/>
        <v>32</v>
      </c>
      <c r="U63" s="144">
        <v>3694</v>
      </c>
      <c r="V63" s="144" t="s">
        <v>179</v>
      </c>
      <c r="X63" s="144" t="str">
        <f t="shared" si="5"/>
        <v>36</v>
      </c>
      <c r="Y63" s="144" t="str">
        <f t="shared" si="6"/>
        <v>369</v>
      </c>
      <c r="AA63" s="144" t="s">
        <v>585</v>
      </c>
      <c r="AB63" s="144" t="s">
        <v>586</v>
      </c>
    </row>
    <row r="64" spans="1:28">
      <c r="A64" s="153">
        <v>12</v>
      </c>
      <c r="B64" s="148" t="str">
        <f t="shared" si="1"/>
        <v>Sredstva učešća za pomoći</v>
      </c>
      <c r="C64" s="153">
        <v>4212</v>
      </c>
      <c r="D64" s="148" t="str">
        <f t="shared" si="0"/>
        <v>Poslovni objekti</v>
      </c>
      <c r="E64" s="159" t="s">
        <v>759</v>
      </c>
      <c r="F64" s="148" t="str">
        <f t="shared" si="2"/>
        <v>Poziv Modernizacija, unaprjeđenje i proširenje infrastrukture studentskog smještaja za studente u nepovoljnom položaju</v>
      </c>
      <c r="G64" s="156">
        <v>9041897</v>
      </c>
      <c r="H64" s="156"/>
      <c r="I64" s="156"/>
      <c r="J64" s="174"/>
      <c r="K64" s="173" t="s">
        <v>1238</v>
      </c>
      <c r="L64" s="173" t="s">
        <v>34</v>
      </c>
      <c r="M64" s="174" t="s">
        <v>1236</v>
      </c>
      <c r="N64" s="174" t="s">
        <v>1239</v>
      </c>
      <c r="P64" s="144" t="str">
        <f t="shared" si="3"/>
        <v>421</v>
      </c>
      <c r="Q64" s="144" t="str">
        <f t="shared" si="4"/>
        <v>42</v>
      </c>
      <c r="U64" s="144">
        <v>3711</v>
      </c>
      <c r="V64" s="144" t="s">
        <v>126</v>
      </c>
      <c r="X64" s="144" t="str">
        <f t="shared" si="5"/>
        <v>37</v>
      </c>
      <c r="Y64" s="144" t="str">
        <f t="shared" si="6"/>
        <v>371</v>
      </c>
      <c r="AA64" s="144" t="s">
        <v>587</v>
      </c>
      <c r="AB64" s="144" t="s">
        <v>588</v>
      </c>
    </row>
    <row r="65" spans="1:28">
      <c r="A65" s="153">
        <v>12</v>
      </c>
      <c r="B65" s="148" t="str">
        <f t="shared" si="1"/>
        <v>Sredstva učešća za pomoći</v>
      </c>
      <c r="C65" s="153">
        <v>4221</v>
      </c>
      <c r="D65" s="148" t="str">
        <f t="shared" si="0"/>
        <v>Uredska oprema i namještaj</v>
      </c>
      <c r="E65" s="159" t="s">
        <v>759</v>
      </c>
      <c r="F65" s="148" t="str">
        <f t="shared" si="2"/>
        <v>Poziv Modernizacija, unaprjeđenje i proširenje infrastrukture studentskog smještaja za studente u nepovoljnom položaju</v>
      </c>
      <c r="G65" s="156">
        <v>2404605</v>
      </c>
      <c r="H65" s="156"/>
      <c r="I65" s="156"/>
      <c r="J65" s="174"/>
      <c r="K65" s="173" t="s">
        <v>1238</v>
      </c>
      <c r="L65" s="173" t="s">
        <v>34</v>
      </c>
      <c r="M65" s="174" t="s">
        <v>1236</v>
      </c>
      <c r="N65" s="174" t="s">
        <v>1239</v>
      </c>
      <c r="P65" s="144" t="str">
        <f t="shared" si="3"/>
        <v>422</v>
      </c>
      <c r="Q65" s="144" t="str">
        <f t="shared" si="4"/>
        <v>42</v>
      </c>
      <c r="U65" s="144">
        <v>3712</v>
      </c>
      <c r="V65" s="144" t="s">
        <v>144</v>
      </c>
      <c r="X65" s="144" t="str">
        <f t="shared" si="5"/>
        <v>37</v>
      </c>
      <c r="Y65" s="144" t="str">
        <f t="shared" si="6"/>
        <v>371</v>
      </c>
      <c r="AA65" s="144" t="s">
        <v>589</v>
      </c>
      <c r="AB65" s="144" t="s">
        <v>590</v>
      </c>
    </row>
    <row r="66" spans="1:28">
      <c r="A66" s="153"/>
      <c r="B66" s="148" t="str">
        <f t="shared" si="1"/>
        <v/>
      </c>
      <c r="C66" s="153"/>
      <c r="D66" s="148" t="str">
        <f t="shared" si="0"/>
        <v/>
      </c>
      <c r="E66" s="159"/>
      <c r="F66" s="148" t="str">
        <f t="shared" si="2"/>
        <v/>
      </c>
      <c r="G66" s="156"/>
      <c r="H66" s="156"/>
      <c r="I66" s="156"/>
      <c r="J66" s="174"/>
      <c r="K66" s="173"/>
      <c r="L66" s="173"/>
      <c r="M66" s="174"/>
      <c r="N66" s="174"/>
      <c r="P66" s="144" t="str">
        <f t="shared" si="3"/>
        <v/>
      </c>
      <c r="Q66" s="144" t="str">
        <f t="shared" si="4"/>
        <v/>
      </c>
      <c r="U66" s="144">
        <v>3713</v>
      </c>
      <c r="V66" s="144" t="s">
        <v>171</v>
      </c>
      <c r="X66" s="144" t="str">
        <f t="shared" si="5"/>
        <v>37</v>
      </c>
      <c r="Y66" s="144" t="str">
        <f t="shared" si="6"/>
        <v>371</v>
      </c>
      <c r="AA66" s="144" t="s">
        <v>591</v>
      </c>
      <c r="AB66" s="144" t="s">
        <v>592</v>
      </c>
    </row>
    <row r="67" spans="1:28">
      <c r="A67" s="153"/>
      <c r="B67" s="148" t="str">
        <f t="shared" si="1"/>
        <v/>
      </c>
      <c r="C67" s="153"/>
      <c r="D67" s="148" t="str">
        <f t="shared" ref="D67:D130" si="7">IFERROR(VLOOKUP(C67,$U$5:$W$129,2,FALSE),"")</f>
        <v/>
      </c>
      <c r="E67" s="159"/>
      <c r="F67" s="148" t="str">
        <f t="shared" si="2"/>
        <v/>
      </c>
      <c r="G67" s="156"/>
      <c r="H67" s="156"/>
      <c r="I67" s="156"/>
      <c r="J67" s="174"/>
      <c r="K67" s="173"/>
      <c r="L67" s="173"/>
      <c r="M67" s="174"/>
      <c r="N67" s="174"/>
      <c r="P67" s="144" t="str">
        <f t="shared" si="3"/>
        <v/>
      </c>
      <c r="Q67" s="144" t="str">
        <f t="shared" si="4"/>
        <v/>
      </c>
      <c r="U67" s="144">
        <v>3714</v>
      </c>
      <c r="V67" s="144" t="s">
        <v>192</v>
      </c>
      <c r="X67" s="144" t="str">
        <f t="shared" si="5"/>
        <v>37</v>
      </c>
      <c r="Y67" s="144" t="str">
        <f t="shared" si="6"/>
        <v>371</v>
      </c>
      <c r="AA67" s="144" t="s">
        <v>593</v>
      </c>
      <c r="AB67" s="144" t="s">
        <v>594</v>
      </c>
    </row>
    <row r="68" spans="1:28">
      <c r="A68" s="153"/>
      <c r="B68" s="148" t="str">
        <f t="shared" ref="B68:B131" si="8">IFERROR(VLOOKUP(A68,$R$6:$S$16,2,FALSE),"")</f>
        <v/>
      </c>
      <c r="C68" s="153"/>
      <c r="D68" s="148" t="str">
        <f t="shared" si="7"/>
        <v/>
      </c>
      <c r="E68" s="159"/>
      <c r="F68" s="148" t="str">
        <f t="shared" ref="F68:F131" si="9">IFERROR(VLOOKUP(E68,$AA$6:$AB$200,2,FALSE),"")</f>
        <v/>
      </c>
      <c r="G68" s="156"/>
      <c r="H68" s="156"/>
      <c r="I68" s="156"/>
      <c r="J68" s="174"/>
      <c r="K68" s="173"/>
      <c r="L68" s="173"/>
      <c r="M68" s="174"/>
      <c r="N68" s="174"/>
      <c r="P68" s="144" t="str">
        <f t="shared" ref="P68:P131" si="10">LEFT(C68,3)</f>
        <v/>
      </c>
      <c r="Q68" s="144" t="str">
        <f t="shared" ref="Q68:Q131" si="11">LEFT(C68,2)</f>
        <v/>
      </c>
      <c r="U68" s="144">
        <v>3715</v>
      </c>
      <c r="V68" s="144" t="s">
        <v>130</v>
      </c>
      <c r="X68" s="144" t="str">
        <f t="shared" si="5"/>
        <v>37</v>
      </c>
      <c r="Y68" s="144" t="str">
        <f t="shared" si="6"/>
        <v>371</v>
      </c>
      <c r="AA68" s="144" t="s">
        <v>595</v>
      </c>
      <c r="AB68" s="144" t="s">
        <v>596</v>
      </c>
    </row>
    <row r="69" spans="1:28">
      <c r="A69" s="153"/>
      <c r="B69" s="148" t="str">
        <f t="shared" si="8"/>
        <v/>
      </c>
      <c r="C69" s="153"/>
      <c r="D69" s="148" t="str">
        <f t="shared" si="7"/>
        <v/>
      </c>
      <c r="E69" s="159"/>
      <c r="F69" s="148" t="str">
        <f t="shared" si="9"/>
        <v/>
      </c>
      <c r="G69" s="156"/>
      <c r="H69" s="156"/>
      <c r="I69" s="156"/>
      <c r="J69" s="174"/>
      <c r="K69" s="173"/>
      <c r="L69" s="173"/>
      <c r="M69" s="174"/>
      <c r="N69" s="174"/>
      <c r="P69" s="144" t="str">
        <f t="shared" si="10"/>
        <v/>
      </c>
      <c r="Q69" s="144" t="str">
        <f t="shared" si="11"/>
        <v/>
      </c>
      <c r="U69" s="144">
        <v>3721</v>
      </c>
      <c r="V69" s="144" t="s">
        <v>67</v>
      </c>
      <c r="X69" s="144" t="str">
        <f t="shared" ref="X69:X129" si="12">LEFT(U69,2)</f>
        <v>37</v>
      </c>
      <c r="Y69" s="144" t="str">
        <f t="shared" si="6"/>
        <v>372</v>
      </c>
      <c r="AA69" s="144" t="s">
        <v>597</v>
      </c>
      <c r="AB69" s="144" t="s">
        <v>598</v>
      </c>
    </row>
    <row r="70" spans="1:28">
      <c r="A70" s="153"/>
      <c r="B70" s="148" t="str">
        <f t="shared" si="8"/>
        <v/>
      </c>
      <c r="C70" s="153"/>
      <c r="D70" s="148" t="str">
        <f t="shared" si="7"/>
        <v/>
      </c>
      <c r="E70" s="159"/>
      <c r="F70" s="148" t="str">
        <f t="shared" si="9"/>
        <v/>
      </c>
      <c r="G70" s="156"/>
      <c r="H70" s="156"/>
      <c r="I70" s="156"/>
      <c r="J70" s="174"/>
      <c r="K70" s="173"/>
      <c r="L70" s="173"/>
      <c r="M70" s="174"/>
      <c r="N70" s="174"/>
      <c r="P70" s="144" t="str">
        <f t="shared" si="10"/>
        <v/>
      </c>
      <c r="Q70" s="144" t="str">
        <f t="shared" si="11"/>
        <v/>
      </c>
      <c r="U70" s="144">
        <v>3722</v>
      </c>
      <c r="V70" s="144" t="s">
        <v>153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599</v>
      </c>
      <c r="AB70" s="144" t="s">
        <v>600</v>
      </c>
    </row>
    <row r="71" spans="1:28">
      <c r="A71" s="153"/>
      <c r="B71" s="148" t="str">
        <f t="shared" si="8"/>
        <v/>
      </c>
      <c r="C71" s="153"/>
      <c r="D71" s="148" t="str">
        <f t="shared" si="7"/>
        <v/>
      </c>
      <c r="E71" s="159"/>
      <c r="F71" s="148" t="str">
        <f t="shared" si="9"/>
        <v/>
      </c>
      <c r="G71" s="156"/>
      <c r="H71" s="156"/>
      <c r="I71" s="156"/>
      <c r="J71" s="174"/>
      <c r="K71" s="173"/>
      <c r="L71" s="173"/>
      <c r="M71" s="174"/>
      <c r="N71" s="174"/>
      <c r="P71" s="144" t="str">
        <f t="shared" si="10"/>
        <v/>
      </c>
      <c r="Q71" s="144" t="str">
        <f t="shared" si="11"/>
        <v/>
      </c>
      <c r="U71" s="144">
        <v>3723</v>
      </c>
      <c r="V71" s="144" t="s">
        <v>107</v>
      </c>
      <c r="X71" s="144" t="str">
        <f t="shared" si="12"/>
        <v>37</v>
      </c>
      <c r="Y71" s="144" t="str">
        <f t="shared" si="13"/>
        <v>372</v>
      </c>
      <c r="AA71" s="144" t="s">
        <v>601</v>
      </c>
      <c r="AB71" s="144" t="s">
        <v>602</v>
      </c>
    </row>
    <row r="72" spans="1:28">
      <c r="A72" s="153"/>
      <c r="B72" s="148" t="str">
        <f t="shared" si="8"/>
        <v/>
      </c>
      <c r="C72" s="153"/>
      <c r="D72" s="148" t="str">
        <f t="shared" si="7"/>
        <v/>
      </c>
      <c r="E72" s="159"/>
      <c r="F72" s="148" t="str">
        <f t="shared" si="9"/>
        <v/>
      </c>
      <c r="G72" s="156"/>
      <c r="H72" s="156"/>
      <c r="I72" s="156"/>
      <c r="J72" s="174"/>
      <c r="K72" s="173"/>
      <c r="L72" s="173"/>
      <c r="M72" s="174"/>
      <c r="N72" s="174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57</v>
      </c>
      <c r="X72" s="144" t="str">
        <f t="shared" si="12"/>
        <v>38</v>
      </c>
      <c r="Y72" s="144" t="str">
        <f t="shared" si="13"/>
        <v>381</v>
      </c>
      <c r="AA72" s="144" t="s">
        <v>603</v>
      </c>
      <c r="AB72" s="144" t="s">
        <v>604</v>
      </c>
    </row>
    <row r="73" spans="1:28">
      <c r="A73" s="153"/>
      <c r="B73" s="148" t="str">
        <f t="shared" si="8"/>
        <v/>
      </c>
      <c r="C73" s="153"/>
      <c r="D73" s="148" t="str">
        <f t="shared" si="7"/>
        <v/>
      </c>
      <c r="E73" s="159"/>
      <c r="F73" s="148" t="str">
        <f t="shared" si="9"/>
        <v/>
      </c>
      <c r="G73" s="156"/>
      <c r="H73" s="156"/>
      <c r="I73" s="156"/>
      <c r="J73" s="174"/>
      <c r="K73" s="173"/>
      <c r="L73" s="173"/>
      <c r="M73" s="174"/>
      <c r="N73" s="174"/>
      <c r="P73" s="144" t="str">
        <f t="shared" si="10"/>
        <v/>
      </c>
      <c r="Q73" s="144" t="str">
        <f t="shared" si="11"/>
        <v/>
      </c>
      <c r="U73" s="144">
        <v>3812</v>
      </c>
      <c r="V73" s="144" t="s">
        <v>154</v>
      </c>
      <c r="X73" s="144" t="str">
        <f t="shared" si="12"/>
        <v>38</v>
      </c>
      <c r="Y73" s="144" t="str">
        <f t="shared" si="13"/>
        <v>381</v>
      </c>
      <c r="AA73" s="144" t="s">
        <v>605</v>
      </c>
      <c r="AB73" s="144" t="s">
        <v>606</v>
      </c>
    </row>
    <row r="74" spans="1:28">
      <c r="A74" s="153"/>
      <c r="B74" s="148" t="str">
        <f t="shared" si="8"/>
        <v/>
      </c>
      <c r="C74" s="153"/>
      <c r="D74" s="148" t="str">
        <f t="shared" si="7"/>
        <v/>
      </c>
      <c r="E74" s="159"/>
      <c r="F74" s="148" t="str">
        <f t="shared" si="9"/>
        <v/>
      </c>
      <c r="G74" s="156"/>
      <c r="H74" s="156"/>
      <c r="I74" s="156"/>
      <c r="J74" s="174"/>
      <c r="K74" s="173"/>
      <c r="L74" s="173"/>
      <c r="M74" s="174"/>
      <c r="N74" s="174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96</v>
      </c>
      <c r="X74" s="144" t="str">
        <f t="shared" si="12"/>
        <v>38</v>
      </c>
      <c r="Y74" s="144" t="str">
        <f t="shared" si="13"/>
        <v>381</v>
      </c>
      <c r="AA74" s="144" t="s">
        <v>607</v>
      </c>
      <c r="AB74" s="144" t="s">
        <v>608</v>
      </c>
    </row>
    <row r="75" spans="1:28">
      <c r="A75" s="153"/>
      <c r="B75" s="148" t="str">
        <f t="shared" si="8"/>
        <v/>
      </c>
      <c r="C75" s="153"/>
      <c r="D75" s="148" t="str">
        <f t="shared" si="7"/>
        <v/>
      </c>
      <c r="E75" s="159"/>
      <c r="F75" s="148" t="str">
        <f t="shared" si="9"/>
        <v/>
      </c>
      <c r="G75" s="156"/>
      <c r="H75" s="156"/>
      <c r="I75" s="156"/>
      <c r="J75" s="174"/>
      <c r="K75" s="173"/>
      <c r="L75" s="173"/>
      <c r="M75" s="174"/>
      <c r="N75" s="174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172</v>
      </c>
      <c r="X75" s="144" t="str">
        <f t="shared" si="12"/>
        <v>38</v>
      </c>
      <c r="Y75" s="144" t="str">
        <f t="shared" si="13"/>
        <v>382</v>
      </c>
      <c r="AA75" s="144" t="s">
        <v>609</v>
      </c>
      <c r="AB75" s="144" t="s">
        <v>610</v>
      </c>
    </row>
    <row r="76" spans="1:28">
      <c r="A76" s="153"/>
      <c r="B76" s="148" t="str">
        <f t="shared" si="8"/>
        <v/>
      </c>
      <c r="C76" s="153"/>
      <c r="D76" s="148" t="str">
        <f t="shared" si="7"/>
        <v/>
      </c>
      <c r="E76" s="159"/>
      <c r="F76" s="148" t="str">
        <f t="shared" si="9"/>
        <v/>
      </c>
      <c r="G76" s="156"/>
      <c r="H76" s="156"/>
      <c r="I76" s="156"/>
      <c r="J76" s="174"/>
      <c r="K76" s="173"/>
      <c r="L76" s="173"/>
      <c r="M76" s="174"/>
      <c r="N76" s="174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155</v>
      </c>
      <c r="X76" s="144" t="str">
        <f t="shared" si="12"/>
        <v>38</v>
      </c>
      <c r="Y76" s="144" t="str">
        <f t="shared" si="13"/>
        <v>383</v>
      </c>
      <c r="AA76" s="144" t="s">
        <v>611</v>
      </c>
      <c r="AB76" s="144" t="s">
        <v>612</v>
      </c>
    </row>
    <row r="77" spans="1:28">
      <c r="A77" s="153"/>
      <c r="B77" s="148" t="str">
        <f t="shared" si="8"/>
        <v/>
      </c>
      <c r="C77" s="153"/>
      <c r="D77" s="148" t="str">
        <f t="shared" si="7"/>
        <v/>
      </c>
      <c r="E77" s="159"/>
      <c r="F77" s="148" t="str">
        <f t="shared" si="9"/>
        <v/>
      </c>
      <c r="G77" s="156"/>
      <c r="H77" s="156"/>
      <c r="I77" s="156"/>
      <c r="J77" s="174"/>
      <c r="K77" s="173"/>
      <c r="L77" s="173"/>
      <c r="M77" s="174"/>
      <c r="N77" s="174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195</v>
      </c>
      <c r="X77" s="144" t="str">
        <f t="shared" si="12"/>
        <v>38</v>
      </c>
      <c r="Y77" s="144" t="str">
        <f t="shared" si="13"/>
        <v>383</v>
      </c>
      <c r="AA77" s="144" t="s">
        <v>613</v>
      </c>
      <c r="AB77" s="144" t="s">
        <v>614</v>
      </c>
    </row>
    <row r="78" spans="1:28">
      <c r="A78" s="153"/>
      <c r="B78" s="148" t="str">
        <f t="shared" si="8"/>
        <v/>
      </c>
      <c r="C78" s="153"/>
      <c r="D78" s="148" t="str">
        <f t="shared" si="7"/>
        <v/>
      </c>
      <c r="E78" s="159"/>
      <c r="F78" s="148" t="str">
        <f t="shared" si="9"/>
        <v/>
      </c>
      <c r="G78" s="156"/>
      <c r="H78" s="156"/>
      <c r="I78" s="156"/>
      <c r="J78" s="174"/>
      <c r="K78" s="173"/>
      <c r="L78" s="173"/>
      <c r="M78" s="174"/>
      <c r="N78" s="174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156</v>
      </c>
      <c r="X78" s="144" t="str">
        <f t="shared" si="12"/>
        <v>38</v>
      </c>
      <c r="Y78" s="144" t="str">
        <f t="shared" si="13"/>
        <v>383</v>
      </c>
      <c r="AA78" s="144" t="s">
        <v>615</v>
      </c>
      <c r="AB78" s="144" t="s">
        <v>616</v>
      </c>
    </row>
    <row r="79" spans="1:28">
      <c r="A79" s="153"/>
      <c r="B79" s="148" t="str">
        <f t="shared" si="8"/>
        <v/>
      </c>
      <c r="C79" s="153"/>
      <c r="D79" s="148" t="str">
        <f t="shared" si="7"/>
        <v/>
      </c>
      <c r="E79" s="159"/>
      <c r="F79" s="148" t="str">
        <f t="shared" si="9"/>
        <v/>
      </c>
      <c r="G79" s="156"/>
      <c r="H79" s="156"/>
      <c r="I79" s="156"/>
      <c r="J79" s="174"/>
      <c r="K79" s="173"/>
      <c r="L79" s="173"/>
      <c r="M79" s="174"/>
      <c r="N79" s="174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157</v>
      </c>
      <c r="X79" s="144" t="str">
        <f t="shared" si="12"/>
        <v>38</v>
      </c>
      <c r="Y79" s="144" t="str">
        <f t="shared" si="13"/>
        <v>383</v>
      </c>
      <c r="AA79" s="144" t="s">
        <v>617</v>
      </c>
      <c r="AB79" s="144" t="s">
        <v>618</v>
      </c>
    </row>
    <row r="80" spans="1:28">
      <c r="A80" s="153"/>
      <c r="B80" s="148" t="str">
        <f t="shared" si="8"/>
        <v/>
      </c>
      <c r="C80" s="153"/>
      <c r="D80" s="148" t="str">
        <f t="shared" si="7"/>
        <v/>
      </c>
      <c r="E80" s="159"/>
      <c r="F80" s="148" t="str">
        <f t="shared" si="9"/>
        <v/>
      </c>
      <c r="G80" s="156"/>
      <c r="H80" s="156"/>
      <c r="I80" s="156"/>
      <c r="J80" s="174"/>
      <c r="K80" s="173"/>
      <c r="L80" s="173"/>
      <c r="M80" s="174"/>
      <c r="N80" s="174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158</v>
      </c>
      <c r="X80" s="144" t="str">
        <f t="shared" si="12"/>
        <v>38</v>
      </c>
      <c r="Y80" s="144" t="str">
        <f t="shared" si="13"/>
        <v>383</v>
      </c>
      <c r="AA80" s="144" t="s">
        <v>619</v>
      </c>
      <c r="AB80" s="144" t="s">
        <v>620</v>
      </c>
    </row>
    <row r="81" spans="1:28">
      <c r="A81" s="153"/>
      <c r="B81" s="148" t="str">
        <f t="shared" si="8"/>
        <v/>
      </c>
      <c r="C81" s="153"/>
      <c r="D81" s="148" t="str">
        <f t="shared" si="7"/>
        <v/>
      </c>
      <c r="E81" s="159"/>
      <c r="F81" s="148" t="str">
        <f t="shared" si="9"/>
        <v/>
      </c>
      <c r="G81" s="156"/>
      <c r="H81" s="156"/>
      <c r="I81" s="156"/>
      <c r="J81" s="174"/>
      <c r="K81" s="173"/>
      <c r="L81" s="173"/>
      <c r="M81" s="174"/>
      <c r="N81" s="174"/>
      <c r="P81" s="144" t="str">
        <f t="shared" si="10"/>
        <v/>
      </c>
      <c r="Q81" s="144" t="str">
        <f t="shared" si="11"/>
        <v/>
      </c>
      <c r="U81" s="170">
        <v>3861</v>
      </c>
      <c r="V81" s="171" t="s">
        <v>410</v>
      </c>
      <c r="W81" s="170"/>
      <c r="X81" s="170" t="str">
        <f t="shared" si="12"/>
        <v>38</v>
      </c>
      <c r="Y81" s="170" t="str">
        <f t="shared" si="13"/>
        <v>386</v>
      </c>
      <c r="AA81" s="144" t="s">
        <v>621</v>
      </c>
      <c r="AB81" s="144" t="s">
        <v>622</v>
      </c>
    </row>
    <row r="82" spans="1:28">
      <c r="A82" s="153"/>
      <c r="B82" s="148" t="str">
        <f t="shared" si="8"/>
        <v/>
      </c>
      <c r="C82" s="153"/>
      <c r="D82" s="148" t="str">
        <f t="shared" si="7"/>
        <v/>
      </c>
      <c r="E82" s="159"/>
      <c r="F82" s="148" t="str">
        <f t="shared" si="9"/>
        <v/>
      </c>
      <c r="G82" s="156"/>
      <c r="H82" s="156"/>
      <c r="I82" s="156"/>
      <c r="J82" s="174"/>
      <c r="K82" s="173"/>
      <c r="L82" s="173"/>
      <c r="M82" s="174"/>
      <c r="N82" s="174"/>
      <c r="P82" s="144" t="str">
        <f t="shared" si="10"/>
        <v/>
      </c>
      <c r="Q82" s="144" t="str">
        <f t="shared" si="11"/>
        <v/>
      </c>
      <c r="U82" s="169">
        <v>3862</v>
      </c>
      <c r="V82" s="144" t="s">
        <v>411</v>
      </c>
      <c r="X82" s="144" t="str">
        <f t="shared" si="12"/>
        <v>38</v>
      </c>
      <c r="Y82" s="144" t="str">
        <f t="shared" si="13"/>
        <v>386</v>
      </c>
      <c r="AA82" s="144" t="s">
        <v>623</v>
      </c>
      <c r="AB82" s="144" t="s">
        <v>624</v>
      </c>
    </row>
    <row r="83" spans="1:28">
      <c r="A83" s="153"/>
      <c r="B83" s="148" t="str">
        <f t="shared" si="8"/>
        <v/>
      </c>
      <c r="C83" s="153"/>
      <c r="D83" s="148" t="str">
        <f t="shared" si="7"/>
        <v/>
      </c>
      <c r="E83" s="159"/>
      <c r="F83" s="148" t="str">
        <f t="shared" si="9"/>
        <v/>
      </c>
      <c r="G83" s="156"/>
      <c r="H83" s="156"/>
      <c r="I83" s="156"/>
      <c r="J83" s="174"/>
      <c r="K83" s="173"/>
      <c r="L83" s="173"/>
      <c r="M83" s="174"/>
      <c r="N83" s="174"/>
      <c r="P83" s="144" t="str">
        <f t="shared" si="10"/>
        <v/>
      </c>
      <c r="Q83" s="144" t="str">
        <f t="shared" si="11"/>
        <v/>
      </c>
      <c r="U83" s="169">
        <v>3863</v>
      </c>
      <c r="V83" s="144" t="s">
        <v>412</v>
      </c>
      <c r="X83" s="144" t="str">
        <f t="shared" si="12"/>
        <v>38</v>
      </c>
      <c r="Y83" s="144" t="str">
        <f t="shared" si="13"/>
        <v>386</v>
      </c>
      <c r="AA83" s="144" t="s">
        <v>625</v>
      </c>
      <c r="AB83" s="144" t="s">
        <v>626</v>
      </c>
    </row>
    <row r="84" spans="1:28">
      <c r="A84" s="153"/>
      <c r="B84" s="148" t="str">
        <f t="shared" si="8"/>
        <v/>
      </c>
      <c r="C84" s="153"/>
      <c r="D84" s="148" t="str">
        <f t="shared" si="7"/>
        <v/>
      </c>
      <c r="E84" s="159"/>
      <c r="F84" s="148" t="str">
        <f t="shared" si="9"/>
        <v/>
      </c>
      <c r="G84" s="156"/>
      <c r="H84" s="156"/>
      <c r="I84" s="156"/>
      <c r="J84" s="174"/>
      <c r="K84" s="173"/>
      <c r="L84" s="173"/>
      <c r="M84" s="174"/>
      <c r="N84" s="174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159</v>
      </c>
      <c r="X84" s="144" t="str">
        <f t="shared" si="12"/>
        <v>41</v>
      </c>
      <c r="Y84" s="144" t="str">
        <f t="shared" si="13"/>
        <v>411</v>
      </c>
      <c r="AA84" s="144" t="s">
        <v>627</v>
      </c>
      <c r="AB84" s="144" t="s">
        <v>628</v>
      </c>
    </row>
    <row r="85" spans="1:28">
      <c r="A85" s="153"/>
      <c r="B85" s="148" t="str">
        <f t="shared" si="8"/>
        <v/>
      </c>
      <c r="C85" s="153"/>
      <c r="D85" s="148" t="str">
        <f t="shared" si="7"/>
        <v/>
      </c>
      <c r="E85" s="159"/>
      <c r="F85" s="148" t="str">
        <f t="shared" si="9"/>
        <v/>
      </c>
      <c r="G85" s="156"/>
      <c r="H85" s="156"/>
      <c r="I85" s="156"/>
      <c r="J85" s="174"/>
      <c r="K85" s="173"/>
      <c r="L85" s="173"/>
      <c r="M85" s="174"/>
      <c r="N85" s="174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193</v>
      </c>
      <c r="X85" s="144" t="str">
        <f t="shared" si="12"/>
        <v>41</v>
      </c>
      <c r="Y85" s="144" t="str">
        <f t="shared" si="13"/>
        <v>411</v>
      </c>
      <c r="AA85" s="144" t="s">
        <v>629</v>
      </c>
      <c r="AB85" s="144" t="s">
        <v>630</v>
      </c>
    </row>
    <row r="86" spans="1:28">
      <c r="A86" s="153"/>
      <c r="B86" s="148" t="str">
        <f t="shared" si="8"/>
        <v/>
      </c>
      <c r="C86" s="153"/>
      <c r="D86" s="148" t="str">
        <f t="shared" si="7"/>
        <v/>
      </c>
      <c r="E86" s="159"/>
      <c r="F86" s="148" t="str">
        <f t="shared" si="9"/>
        <v/>
      </c>
      <c r="G86" s="156"/>
      <c r="H86" s="156"/>
      <c r="I86" s="156"/>
      <c r="J86" s="174"/>
      <c r="K86" s="173"/>
      <c r="L86" s="173"/>
      <c r="M86" s="174"/>
      <c r="N86" s="174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160</v>
      </c>
      <c r="X86" s="144" t="str">
        <f t="shared" si="12"/>
        <v>41</v>
      </c>
      <c r="Y86" s="144" t="str">
        <f t="shared" si="13"/>
        <v>412</v>
      </c>
      <c r="AA86" s="144" t="s">
        <v>631</v>
      </c>
      <c r="AB86" s="144" t="s">
        <v>632</v>
      </c>
    </row>
    <row r="87" spans="1:28">
      <c r="A87" s="153"/>
      <c r="B87" s="148" t="str">
        <f t="shared" si="8"/>
        <v/>
      </c>
      <c r="C87" s="153"/>
      <c r="D87" s="148" t="str">
        <f t="shared" si="7"/>
        <v/>
      </c>
      <c r="E87" s="159"/>
      <c r="F87" s="148" t="str">
        <f t="shared" si="9"/>
        <v/>
      </c>
      <c r="G87" s="156"/>
      <c r="H87" s="156"/>
      <c r="I87" s="156"/>
      <c r="J87" s="174"/>
      <c r="K87" s="173"/>
      <c r="L87" s="173"/>
      <c r="M87" s="174"/>
      <c r="N87" s="174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131</v>
      </c>
      <c r="X87" s="144" t="str">
        <f t="shared" si="12"/>
        <v>41</v>
      </c>
      <c r="Y87" s="144" t="str">
        <f t="shared" si="13"/>
        <v>412</v>
      </c>
      <c r="AA87" s="144" t="s">
        <v>633</v>
      </c>
      <c r="AB87" s="144" t="s">
        <v>632</v>
      </c>
    </row>
    <row r="88" spans="1:28">
      <c r="A88" s="153"/>
      <c r="B88" s="148" t="str">
        <f t="shared" si="8"/>
        <v/>
      </c>
      <c r="C88" s="153"/>
      <c r="D88" s="148" t="str">
        <f t="shared" si="7"/>
        <v/>
      </c>
      <c r="E88" s="159"/>
      <c r="F88" s="148" t="str">
        <f t="shared" si="9"/>
        <v/>
      </c>
      <c r="G88" s="156"/>
      <c r="H88" s="156"/>
      <c r="I88" s="156"/>
      <c r="J88" s="174"/>
      <c r="K88" s="173"/>
      <c r="L88" s="173"/>
      <c r="M88" s="174"/>
      <c r="N88" s="174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116</v>
      </c>
      <c r="X88" s="144" t="str">
        <f t="shared" si="12"/>
        <v>41</v>
      </c>
      <c r="Y88" s="144" t="str">
        <f t="shared" si="13"/>
        <v>412</v>
      </c>
      <c r="AA88" s="144" t="s">
        <v>634</v>
      </c>
      <c r="AB88" s="144" t="s">
        <v>635</v>
      </c>
    </row>
    <row r="89" spans="1:28">
      <c r="A89" s="153"/>
      <c r="B89" s="148" t="str">
        <f t="shared" si="8"/>
        <v/>
      </c>
      <c r="C89" s="153"/>
      <c r="D89" s="148" t="str">
        <f t="shared" si="7"/>
        <v/>
      </c>
      <c r="E89" s="159"/>
      <c r="F89" s="148" t="str">
        <f t="shared" si="9"/>
        <v/>
      </c>
      <c r="G89" s="156"/>
      <c r="H89" s="156"/>
      <c r="I89" s="156"/>
      <c r="J89" s="174"/>
      <c r="K89" s="173"/>
      <c r="L89" s="173"/>
      <c r="M89" s="174"/>
      <c r="N89" s="174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161</v>
      </c>
      <c r="X89" s="144" t="str">
        <f t="shared" si="12"/>
        <v>41</v>
      </c>
      <c r="Y89" s="144" t="str">
        <f t="shared" si="13"/>
        <v>412</v>
      </c>
      <c r="AA89" s="144" t="s">
        <v>636</v>
      </c>
      <c r="AB89" s="144" t="s">
        <v>637</v>
      </c>
    </row>
    <row r="90" spans="1:28">
      <c r="A90" s="153"/>
      <c r="B90" s="148" t="str">
        <f t="shared" si="8"/>
        <v/>
      </c>
      <c r="C90" s="153"/>
      <c r="D90" s="148" t="str">
        <f t="shared" si="7"/>
        <v/>
      </c>
      <c r="E90" s="159"/>
      <c r="F90" s="148" t="str">
        <f t="shared" si="9"/>
        <v/>
      </c>
      <c r="G90" s="156"/>
      <c r="H90" s="156"/>
      <c r="I90" s="156"/>
      <c r="J90" s="174"/>
      <c r="K90" s="173"/>
      <c r="L90" s="173"/>
      <c r="M90" s="174"/>
      <c r="N90" s="174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175</v>
      </c>
      <c r="X90" s="144" t="str">
        <f t="shared" si="12"/>
        <v>42</v>
      </c>
      <c r="Y90" s="144" t="str">
        <f t="shared" si="13"/>
        <v>421</v>
      </c>
      <c r="AA90" s="144" t="s">
        <v>638</v>
      </c>
      <c r="AB90" s="144" t="s">
        <v>635</v>
      </c>
    </row>
    <row r="91" spans="1:28">
      <c r="A91" s="153"/>
      <c r="B91" s="148" t="str">
        <f t="shared" si="8"/>
        <v/>
      </c>
      <c r="C91" s="153"/>
      <c r="D91" s="148" t="str">
        <f t="shared" si="7"/>
        <v/>
      </c>
      <c r="E91" s="159"/>
      <c r="F91" s="148" t="str">
        <f t="shared" si="9"/>
        <v/>
      </c>
      <c r="G91" s="156"/>
      <c r="H91" s="156"/>
      <c r="I91" s="156"/>
      <c r="J91" s="174"/>
      <c r="K91" s="173"/>
      <c r="L91" s="173"/>
      <c r="M91" s="174"/>
      <c r="N91" s="174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62</v>
      </c>
      <c r="X91" s="144" t="str">
        <f t="shared" si="12"/>
        <v>42</v>
      </c>
      <c r="Y91" s="144" t="str">
        <f t="shared" si="13"/>
        <v>421</v>
      </c>
      <c r="AA91" s="144" t="s">
        <v>639</v>
      </c>
      <c r="AB91" s="144" t="s">
        <v>640</v>
      </c>
    </row>
    <row r="92" spans="1:28">
      <c r="A92" s="153"/>
      <c r="B92" s="148" t="str">
        <f t="shared" si="8"/>
        <v/>
      </c>
      <c r="C92" s="153"/>
      <c r="D92" s="148" t="str">
        <f t="shared" si="7"/>
        <v/>
      </c>
      <c r="E92" s="159"/>
      <c r="F92" s="148" t="str">
        <f t="shared" si="9"/>
        <v/>
      </c>
      <c r="G92" s="156"/>
      <c r="H92" s="156"/>
      <c r="I92" s="156"/>
      <c r="J92" s="174"/>
      <c r="K92" s="173"/>
      <c r="L92" s="173"/>
      <c r="M92" s="174"/>
      <c r="N92" s="174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162</v>
      </c>
      <c r="X92" s="144" t="str">
        <f t="shared" si="12"/>
        <v>42</v>
      </c>
      <c r="Y92" s="144" t="str">
        <f t="shared" si="13"/>
        <v>421</v>
      </c>
      <c r="AA92" s="144" t="s">
        <v>641</v>
      </c>
      <c r="AB92" s="144" t="s">
        <v>642</v>
      </c>
    </row>
    <row r="93" spans="1:28">
      <c r="A93" s="153"/>
      <c r="B93" s="148" t="str">
        <f t="shared" si="8"/>
        <v/>
      </c>
      <c r="C93" s="153"/>
      <c r="D93" s="148" t="str">
        <f t="shared" si="7"/>
        <v/>
      </c>
      <c r="E93" s="159"/>
      <c r="F93" s="148" t="str">
        <f t="shared" si="9"/>
        <v/>
      </c>
      <c r="G93" s="156"/>
      <c r="H93" s="156"/>
      <c r="I93" s="156"/>
      <c r="J93" s="174"/>
      <c r="K93" s="173"/>
      <c r="L93" s="173"/>
      <c r="M93" s="174"/>
      <c r="N93" s="174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163</v>
      </c>
      <c r="X93" s="144" t="str">
        <f t="shared" si="12"/>
        <v>42</v>
      </c>
      <c r="Y93" s="144" t="str">
        <f t="shared" si="13"/>
        <v>421</v>
      </c>
      <c r="AA93" s="144" t="s">
        <v>643</v>
      </c>
      <c r="AB93" s="144" t="s">
        <v>644</v>
      </c>
    </row>
    <row r="94" spans="1:28">
      <c r="A94" s="153"/>
      <c r="B94" s="148" t="str">
        <f t="shared" si="8"/>
        <v/>
      </c>
      <c r="C94" s="153"/>
      <c r="D94" s="148" t="str">
        <f t="shared" si="7"/>
        <v/>
      </c>
      <c r="E94" s="159"/>
      <c r="F94" s="148" t="str">
        <f t="shared" si="9"/>
        <v/>
      </c>
      <c r="G94" s="156"/>
      <c r="H94" s="156"/>
      <c r="I94" s="156"/>
      <c r="J94" s="174"/>
      <c r="K94" s="173"/>
      <c r="L94" s="173"/>
      <c r="M94" s="174"/>
      <c r="N94" s="174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97</v>
      </c>
      <c r="X94" s="144" t="str">
        <f t="shared" si="12"/>
        <v>42</v>
      </c>
      <c r="Y94" s="144" t="str">
        <f t="shared" si="13"/>
        <v>422</v>
      </c>
      <c r="AA94" s="144" t="s">
        <v>645</v>
      </c>
      <c r="AB94" s="144" t="s">
        <v>646</v>
      </c>
    </row>
    <row r="95" spans="1:28">
      <c r="A95" s="153"/>
      <c r="B95" s="148" t="str">
        <f t="shared" si="8"/>
        <v/>
      </c>
      <c r="C95" s="153"/>
      <c r="D95" s="148" t="str">
        <f t="shared" si="7"/>
        <v/>
      </c>
      <c r="E95" s="159"/>
      <c r="F95" s="148" t="str">
        <f t="shared" si="9"/>
        <v/>
      </c>
      <c r="G95" s="156"/>
      <c r="H95" s="156"/>
      <c r="I95" s="156"/>
      <c r="J95" s="174"/>
      <c r="K95" s="173"/>
      <c r="L95" s="173"/>
      <c r="M95" s="174"/>
      <c r="N95" s="174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108</v>
      </c>
      <c r="X95" s="144" t="str">
        <f t="shared" si="12"/>
        <v>42</v>
      </c>
      <c r="Y95" s="144" t="str">
        <f t="shared" si="13"/>
        <v>422</v>
      </c>
      <c r="AA95" s="144" t="s">
        <v>647</v>
      </c>
      <c r="AB95" s="144" t="s">
        <v>648</v>
      </c>
    </row>
    <row r="96" spans="1:28">
      <c r="A96" s="153"/>
      <c r="B96" s="148" t="str">
        <f t="shared" si="8"/>
        <v/>
      </c>
      <c r="C96" s="153"/>
      <c r="D96" s="148" t="str">
        <f t="shared" si="7"/>
        <v/>
      </c>
      <c r="E96" s="159"/>
      <c r="F96" s="148" t="str">
        <f t="shared" si="9"/>
        <v/>
      </c>
      <c r="G96" s="156"/>
      <c r="H96" s="156"/>
      <c r="I96" s="156"/>
      <c r="J96" s="174"/>
      <c r="K96" s="173"/>
      <c r="L96" s="173"/>
      <c r="M96" s="174"/>
      <c r="N96" s="174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121</v>
      </c>
      <c r="X96" s="144" t="str">
        <f t="shared" si="12"/>
        <v>42</v>
      </c>
      <c r="Y96" s="144" t="str">
        <f t="shared" si="13"/>
        <v>422</v>
      </c>
      <c r="AA96" s="144" t="s">
        <v>649</v>
      </c>
      <c r="AB96" s="144" t="s">
        <v>650</v>
      </c>
    </row>
    <row r="97" spans="1:28">
      <c r="A97" s="153"/>
      <c r="B97" s="148" t="str">
        <f t="shared" si="8"/>
        <v/>
      </c>
      <c r="C97" s="153"/>
      <c r="D97" s="148" t="str">
        <f t="shared" si="7"/>
        <v/>
      </c>
      <c r="E97" s="159"/>
      <c r="F97" s="148" t="str">
        <f t="shared" si="9"/>
        <v/>
      </c>
      <c r="G97" s="156"/>
      <c r="H97" s="156"/>
      <c r="I97" s="156"/>
      <c r="J97" s="174"/>
      <c r="K97" s="173"/>
      <c r="L97" s="173"/>
      <c r="M97" s="174"/>
      <c r="N97" s="174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114</v>
      </c>
      <c r="X97" s="144" t="str">
        <f t="shared" si="12"/>
        <v>42</v>
      </c>
      <c r="Y97" s="144" t="str">
        <f t="shared" si="13"/>
        <v>422</v>
      </c>
      <c r="AA97" s="144" t="s">
        <v>651</v>
      </c>
      <c r="AB97" s="144" t="s">
        <v>652</v>
      </c>
    </row>
    <row r="98" spans="1:28">
      <c r="A98" s="153"/>
      <c r="B98" s="148" t="str">
        <f t="shared" si="8"/>
        <v/>
      </c>
      <c r="C98" s="153"/>
      <c r="D98" s="148" t="str">
        <f t="shared" si="7"/>
        <v/>
      </c>
      <c r="E98" s="159"/>
      <c r="F98" s="148" t="str">
        <f t="shared" si="9"/>
        <v/>
      </c>
      <c r="G98" s="156"/>
      <c r="H98" s="156"/>
      <c r="I98" s="156"/>
      <c r="J98" s="174"/>
      <c r="K98" s="173"/>
      <c r="L98" s="173"/>
      <c r="M98" s="174"/>
      <c r="N98" s="174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118</v>
      </c>
      <c r="X98" s="144" t="str">
        <f t="shared" si="12"/>
        <v>42</v>
      </c>
      <c r="Y98" s="144" t="str">
        <f t="shared" si="13"/>
        <v>422</v>
      </c>
      <c r="AA98" s="144" t="s">
        <v>653</v>
      </c>
      <c r="AB98" s="144" t="s">
        <v>654</v>
      </c>
    </row>
    <row r="99" spans="1:28">
      <c r="A99" s="153"/>
      <c r="B99" s="148" t="str">
        <f t="shared" si="8"/>
        <v/>
      </c>
      <c r="C99" s="153"/>
      <c r="D99" s="148" t="str">
        <f t="shared" si="7"/>
        <v/>
      </c>
      <c r="E99" s="159"/>
      <c r="F99" s="148" t="str">
        <f t="shared" si="9"/>
        <v/>
      </c>
      <c r="G99" s="156"/>
      <c r="H99" s="156"/>
      <c r="I99" s="156"/>
      <c r="J99" s="174"/>
      <c r="K99" s="173"/>
      <c r="L99" s="173"/>
      <c r="M99" s="174"/>
      <c r="N99" s="174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164</v>
      </c>
      <c r="X99" s="144" t="str">
        <f t="shared" si="12"/>
        <v>42</v>
      </c>
      <c r="Y99" s="144" t="str">
        <f t="shared" si="13"/>
        <v>422</v>
      </c>
      <c r="AA99" s="144" t="s">
        <v>655</v>
      </c>
      <c r="AB99" s="144" t="s">
        <v>656</v>
      </c>
    </row>
    <row r="100" spans="1:28">
      <c r="A100" s="153"/>
      <c r="B100" s="148" t="str">
        <f t="shared" si="8"/>
        <v/>
      </c>
      <c r="C100" s="153"/>
      <c r="D100" s="148" t="str">
        <f t="shared" si="7"/>
        <v/>
      </c>
      <c r="E100" s="159"/>
      <c r="F100" s="148" t="str">
        <f t="shared" si="9"/>
        <v/>
      </c>
      <c r="G100" s="156"/>
      <c r="H100" s="156"/>
      <c r="I100" s="156"/>
      <c r="J100" s="174"/>
      <c r="K100" s="173"/>
      <c r="L100" s="173"/>
      <c r="M100" s="174"/>
      <c r="N100" s="174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132</v>
      </c>
      <c r="X100" s="144" t="str">
        <f t="shared" si="12"/>
        <v>42</v>
      </c>
      <c r="Y100" s="144" t="str">
        <f t="shared" si="13"/>
        <v>422</v>
      </c>
      <c r="AA100" s="144" t="s">
        <v>657</v>
      </c>
      <c r="AB100" s="144" t="s">
        <v>658</v>
      </c>
    </row>
    <row r="101" spans="1:28">
      <c r="A101" s="153"/>
      <c r="B101" s="148" t="str">
        <f t="shared" si="8"/>
        <v/>
      </c>
      <c r="C101" s="153"/>
      <c r="D101" s="148" t="str">
        <f t="shared" si="7"/>
        <v/>
      </c>
      <c r="E101" s="159"/>
      <c r="F101" s="148" t="str">
        <f t="shared" si="9"/>
        <v/>
      </c>
      <c r="G101" s="156"/>
      <c r="H101" s="156"/>
      <c r="I101" s="156"/>
      <c r="J101" s="174"/>
      <c r="K101" s="173"/>
      <c r="L101" s="173"/>
      <c r="M101" s="174"/>
      <c r="N101" s="174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165</v>
      </c>
      <c r="X101" s="144" t="str">
        <f t="shared" si="12"/>
        <v>42</v>
      </c>
      <c r="Y101" s="144" t="str">
        <f t="shared" si="13"/>
        <v>423</v>
      </c>
      <c r="AA101" s="144" t="s">
        <v>659</v>
      </c>
      <c r="AB101" s="144" t="s">
        <v>660</v>
      </c>
    </row>
    <row r="102" spans="1:28">
      <c r="A102" s="153"/>
      <c r="B102" s="148" t="str">
        <f t="shared" si="8"/>
        <v/>
      </c>
      <c r="C102" s="153"/>
      <c r="D102" s="148" t="str">
        <f t="shared" si="7"/>
        <v/>
      </c>
      <c r="E102" s="159"/>
      <c r="F102" s="148" t="str">
        <f t="shared" si="9"/>
        <v/>
      </c>
      <c r="G102" s="156"/>
      <c r="H102" s="156"/>
      <c r="I102" s="156"/>
      <c r="J102" s="174"/>
      <c r="K102" s="173"/>
      <c r="L102" s="173"/>
      <c r="M102" s="174"/>
      <c r="N102" s="174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173</v>
      </c>
      <c r="X102" s="144" t="str">
        <f t="shared" si="12"/>
        <v>42</v>
      </c>
      <c r="Y102" s="144" t="str">
        <f t="shared" si="13"/>
        <v>423</v>
      </c>
      <c r="AA102" s="144" t="s">
        <v>661</v>
      </c>
      <c r="AB102" s="144" t="s">
        <v>662</v>
      </c>
    </row>
    <row r="103" spans="1:28">
      <c r="A103" s="153"/>
      <c r="B103" s="148" t="str">
        <f t="shared" si="8"/>
        <v/>
      </c>
      <c r="C103" s="153"/>
      <c r="D103" s="148" t="str">
        <f t="shared" si="7"/>
        <v/>
      </c>
      <c r="E103" s="159"/>
      <c r="F103" s="148" t="str">
        <f t="shared" si="9"/>
        <v/>
      </c>
      <c r="G103" s="156"/>
      <c r="H103" s="156"/>
      <c r="I103" s="156"/>
      <c r="J103" s="174"/>
      <c r="K103" s="173"/>
      <c r="L103" s="173"/>
      <c r="M103" s="174"/>
      <c r="N103" s="174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109</v>
      </c>
      <c r="X103" s="144" t="str">
        <f t="shared" si="12"/>
        <v>42</v>
      </c>
      <c r="Y103" s="144" t="str">
        <f t="shared" si="13"/>
        <v>424</v>
      </c>
      <c r="AA103" s="144" t="s">
        <v>663</v>
      </c>
      <c r="AB103" s="144" t="s">
        <v>664</v>
      </c>
    </row>
    <row r="104" spans="1:28">
      <c r="A104" s="153"/>
      <c r="B104" s="148" t="str">
        <f t="shared" si="8"/>
        <v/>
      </c>
      <c r="C104" s="153"/>
      <c r="D104" s="148" t="str">
        <f t="shared" si="7"/>
        <v/>
      </c>
      <c r="E104" s="159"/>
      <c r="F104" s="148" t="str">
        <f t="shared" si="9"/>
        <v/>
      </c>
      <c r="G104" s="156"/>
      <c r="H104" s="156"/>
      <c r="I104" s="156"/>
      <c r="J104" s="174"/>
      <c r="K104" s="173"/>
      <c r="L104" s="173"/>
      <c r="M104" s="174"/>
      <c r="N104" s="174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142</v>
      </c>
      <c r="X104" s="144" t="str">
        <f t="shared" si="12"/>
        <v>42</v>
      </c>
      <c r="Y104" s="144" t="str">
        <f t="shared" si="13"/>
        <v>424</v>
      </c>
      <c r="AA104" s="144" t="s">
        <v>665</v>
      </c>
      <c r="AB104" s="144" t="s">
        <v>666</v>
      </c>
    </row>
    <row r="105" spans="1:28">
      <c r="A105" s="153"/>
      <c r="B105" s="148" t="str">
        <f t="shared" si="8"/>
        <v/>
      </c>
      <c r="C105" s="153"/>
      <c r="D105" s="148" t="str">
        <f t="shared" si="7"/>
        <v/>
      </c>
      <c r="E105" s="159"/>
      <c r="F105" s="148" t="str">
        <f t="shared" si="9"/>
        <v/>
      </c>
      <c r="G105" s="156"/>
      <c r="H105" s="156"/>
      <c r="I105" s="156"/>
      <c r="J105" s="174"/>
      <c r="K105" s="173"/>
      <c r="L105" s="173"/>
      <c r="M105" s="174"/>
      <c r="N105" s="174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174</v>
      </c>
      <c r="X105" s="144" t="str">
        <f t="shared" si="12"/>
        <v>42</v>
      </c>
      <c r="Y105" s="144" t="str">
        <f t="shared" si="13"/>
        <v>424</v>
      </c>
      <c r="AA105" s="144" t="s">
        <v>667</v>
      </c>
      <c r="AB105" s="144" t="s">
        <v>668</v>
      </c>
    </row>
    <row r="106" spans="1:28">
      <c r="A106" s="153"/>
      <c r="B106" s="148" t="str">
        <f t="shared" si="8"/>
        <v/>
      </c>
      <c r="C106" s="153"/>
      <c r="D106" s="148" t="str">
        <f t="shared" si="7"/>
        <v/>
      </c>
      <c r="E106" s="159"/>
      <c r="F106" s="148" t="str">
        <f t="shared" si="9"/>
        <v/>
      </c>
      <c r="G106" s="156"/>
      <c r="H106" s="156"/>
      <c r="I106" s="156"/>
      <c r="J106" s="174"/>
      <c r="K106" s="173"/>
      <c r="L106" s="173"/>
      <c r="M106" s="174"/>
      <c r="N106" s="174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166</v>
      </c>
      <c r="X106" s="144" t="str">
        <f t="shared" si="12"/>
        <v>42</v>
      </c>
      <c r="Y106" s="144" t="str">
        <f t="shared" si="13"/>
        <v>425</v>
      </c>
      <c r="AA106" s="144" t="s">
        <v>669</v>
      </c>
      <c r="AB106" s="144" t="s">
        <v>670</v>
      </c>
    </row>
    <row r="107" spans="1:28">
      <c r="A107" s="153"/>
      <c r="B107" s="148" t="str">
        <f t="shared" si="8"/>
        <v/>
      </c>
      <c r="C107" s="153"/>
      <c r="D107" s="148" t="str">
        <f t="shared" si="7"/>
        <v/>
      </c>
      <c r="E107" s="159"/>
      <c r="F107" s="148" t="str">
        <f t="shared" si="9"/>
        <v/>
      </c>
      <c r="G107" s="156"/>
      <c r="H107" s="156"/>
      <c r="I107" s="156"/>
      <c r="J107" s="174"/>
      <c r="K107" s="173"/>
      <c r="L107" s="173"/>
      <c r="M107" s="174"/>
      <c r="N107" s="174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167</v>
      </c>
      <c r="X107" s="144" t="str">
        <f t="shared" si="12"/>
        <v>42</v>
      </c>
      <c r="Y107" s="144" t="str">
        <f t="shared" si="13"/>
        <v>425</v>
      </c>
      <c r="AA107" s="144" t="s">
        <v>671</v>
      </c>
      <c r="AB107" s="144" t="s">
        <v>672</v>
      </c>
    </row>
    <row r="108" spans="1:28">
      <c r="A108" s="153"/>
      <c r="B108" s="148" t="str">
        <f t="shared" si="8"/>
        <v/>
      </c>
      <c r="C108" s="153"/>
      <c r="D108" s="148" t="str">
        <f t="shared" si="7"/>
        <v/>
      </c>
      <c r="E108" s="159"/>
      <c r="F108" s="148" t="str">
        <f t="shared" si="9"/>
        <v/>
      </c>
      <c r="G108" s="156"/>
      <c r="H108" s="156"/>
      <c r="I108" s="156"/>
      <c r="J108" s="174"/>
      <c r="K108" s="173"/>
      <c r="L108" s="173"/>
      <c r="M108" s="174"/>
      <c r="N108" s="174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110</v>
      </c>
      <c r="X108" s="144" t="str">
        <f t="shared" si="12"/>
        <v>42</v>
      </c>
      <c r="Y108" s="144" t="str">
        <f t="shared" si="13"/>
        <v>426</v>
      </c>
      <c r="AA108" s="144" t="s">
        <v>673</v>
      </c>
      <c r="AB108" s="144" t="s">
        <v>674</v>
      </c>
    </row>
    <row r="109" spans="1:28">
      <c r="A109" s="153"/>
      <c r="B109" s="148" t="str">
        <f t="shared" si="8"/>
        <v/>
      </c>
      <c r="C109" s="153"/>
      <c r="D109" s="148" t="str">
        <f t="shared" si="7"/>
        <v/>
      </c>
      <c r="E109" s="159"/>
      <c r="F109" s="148" t="str">
        <f t="shared" si="9"/>
        <v/>
      </c>
      <c r="G109" s="156"/>
      <c r="H109" s="156"/>
      <c r="I109" s="156"/>
      <c r="J109" s="174"/>
      <c r="K109" s="173"/>
      <c r="L109" s="173"/>
      <c r="M109" s="174"/>
      <c r="N109" s="174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168</v>
      </c>
      <c r="X109" s="144" t="str">
        <f t="shared" si="12"/>
        <v>42</v>
      </c>
      <c r="Y109" s="144" t="str">
        <f t="shared" si="13"/>
        <v>426</v>
      </c>
      <c r="AA109" s="144" t="s">
        <v>675</v>
      </c>
      <c r="AB109" s="144" t="s">
        <v>676</v>
      </c>
    </row>
    <row r="110" spans="1:28">
      <c r="A110" s="153"/>
      <c r="B110" s="148" t="str">
        <f t="shared" si="8"/>
        <v/>
      </c>
      <c r="C110" s="153"/>
      <c r="D110" s="148" t="str">
        <f t="shared" si="7"/>
        <v/>
      </c>
      <c r="E110" s="159"/>
      <c r="F110" s="148" t="str">
        <f t="shared" si="9"/>
        <v/>
      </c>
      <c r="G110" s="156"/>
      <c r="H110" s="156"/>
      <c r="I110" s="156"/>
      <c r="J110" s="174"/>
      <c r="K110" s="173"/>
      <c r="L110" s="173"/>
      <c r="M110" s="174"/>
      <c r="N110" s="174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122</v>
      </c>
      <c r="X110" s="144" t="str">
        <f t="shared" si="12"/>
        <v>42</v>
      </c>
      <c r="Y110" s="144" t="str">
        <f t="shared" si="13"/>
        <v>426</v>
      </c>
      <c r="AA110" s="144" t="s">
        <v>677</v>
      </c>
      <c r="AB110" s="144" t="s">
        <v>678</v>
      </c>
    </row>
    <row r="111" spans="1:28">
      <c r="A111" s="153"/>
      <c r="B111" s="148" t="str">
        <f t="shared" si="8"/>
        <v/>
      </c>
      <c r="C111" s="153"/>
      <c r="D111" s="148" t="str">
        <f t="shared" si="7"/>
        <v/>
      </c>
      <c r="E111" s="159"/>
      <c r="F111" s="148" t="str">
        <f t="shared" si="9"/>
        <v/>
      </c>
      <c r="G111" s="156"/>
      <c r="H111" s="156"/>
      <c r="I111" s="156"/>
      <c r="J111" s="174"/>
      <c r="K111" s="173"/>
      <c r="L111" s="173"/>
      <c r="M111" s="174"/>
      <c r="N111" s="174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124</v>
      </c>
      <c r="X111" s="144" t="str">
        <f t="shared" si="12"/>
        <v>43</v>
      </c>
      <c r="Y111" s="144" t="str">
        <f t="shared" si="13"/>
        <v>431</v>
      </c>
      <c r="AA111" s="144" t="s">
        <v>679</v>
      </c>
      <c r="AB111" s="144" t="s">
        <v>680</v>
      </c>
    </row>
    <row r="112" spans="1:28">
      <c r="A112" s="153"/>
      <c r="B112" s="148" t="str">
        <f t="shared" si="8"/>
        <v/>
      </c>
      <c r="C112" s="153"/>
      <c r="D112" s="148" t="str">
        <f t="shared" si="7"/>
        <v/>
      </c>
      <c r="E112" s="159"/>
      <c r="F112" s="148" t="str">
        <f t="shared" si="9"/>
        <v/>
      </c>
      <c r="G112" s="156"/>
      <c r="H112" s="156"/>
      <c r="I112" s="156"/>
      <c r="J112" s="174"/>
      <c r="K112" s="173"/>
      <c r="L112" s="173"/>
      <c r="M112" s="174"/>
      <c r="N112" s="174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169</v>
      </c>
      <c r="X112" s="144" t="str">
        <f t="shared" si="12"/>
        <v>44</v>
      </c>
      <c r="Y112" s="144" t="str">
        <f t="shared" si="13"/>
        <v>441</v>
      </c>
      <c r="AA112" s="144" t="s">
        <v>681</v>
      </c>
      <c r="AB112" s="144" t="s">
        <v>682</v>
      </c>
    </row>
    <row r="113" spans="1:28">
      <c r="A113" s="153"/>
      <c r="B113" s="148" t="str">
        <f t="shared" si="8"/>
        <v/>
      </c>
      <c r="C113" s="153"/>
      <c r="D113" s="148" t="str">
        <f t="shared" si="7"/>
        <v/>
      </c>
      <c r="E113" s="159"/>
      <c r="F113" s="148" t="str">
        <f t="shared" si="9"/>
        <v/>
      </c>
      <c r="G113" s="156"/>
      <c r="H113" s="156"/>
      <c r="I113" s="156"/>
      <c r="J113" s="174"/>
      <c r="K113" s="173"/>
      <c r="L113" s="173"/>
      <c r="M113" s="174"/>
      <c r="N113" s="174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123</v>
      </c>
      <c r="X113" s="144" t="str">
        <f t="shared" si="12"/>
        <v>45</v>
      </c>
      <c r="Y113" s="144" t="str">
        <f t="shared" si="13"/>
        <v>451</v>
      </c>
      <c r="AA113" s="144" t="s">
        <v>683</v>
      </c>
      <c r="AB113" s="144" t="s">
        <v>684</v>
      </c>
    </row>
    <row r="114" spans="1:28">
      <c r="A114" s="153"/>
      <c r="B114" s="148" t="str">
        <f t="shared" si="8"/>
        <v/>
      </c>
      <c r="C114" s="153"/>
      <c r="D114" s="148" t="str">
        <f t="shared" si="7"/>
        <v/>
      </c>
      <c r="E114" s="159"/>
      <c r="F114" s="148" t="str">
        <f t="shared" si="9"/>
        <v/>
      </c>
      <c r="G114" s="156"/>
      <c r="H114" s="156"/>
      <c r="I114" s="156"/>
      <c r="J114" s="174"/>
      <c r="K114" s="173"/>
      <c r="L114" s="173"/>
      <c r="M114" s="174"/>
      <c r="N114" s="174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143</v>
      </c>
      <c r="X114" s="144" t="str">
        <f t="shared" si="12"/>
        <v>45</v>
      </c>
      <c r="Y114" s="144" t="str">
        <f t="shared" si="13"/>
        <v>452</v>
      </c>
      <c r="AA114" s="144" t="s">
        <v>685</v>
      </c>
      <c r="AB114" s="144" t="s">
        <v>686</v>
      </c>
    </row>
    <row r="115" spans="1:28">
      <c r="A115" s="153"/>
      <c r="B115" s="148" t="str">
        <f t="shared" si="8"/>
        <v/>
      </c>
      <c r="C115" s="153"/>
      <c r="D115" s="148" t="str">
        <f t="shared" si="7"/>
        <v/>
      </c>
      <c r="E115" s="159"/>
      <c r="F115" s="148" t="str">
        <f t="shared" si="9"/>
        <v/>
      </c>
      <c r="G115" s="156"/>
      <c r="H115" s="156"/>
      <c r="I115" s="156"/>
      <c r="J115" s="174"/>
      <c r="K115" s="173"/>
      <c r="L115" s="173"/>
      <c r="M115" s="174"/>
      <c r="N115" s="174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186</v>
      </c>
      <c r="X115" s="144" t="str">
        <f t="shared" si="12"/>
        <v>45</v>
      </c>
      <c r="Y115" s="144" t="str">
        <f t="shared" si="13"/>
        <v>453</v>
      </c>
      <c r="AA115" s="144" t="s">
        <v>687</v>
      </c>
      <c r="AB115" s="144" t="s">
        <v>688</v>
      </c>
    </row>
    <row r="116" spans="1:28">
      <c r="A116" s="153"/>
      <c r="B116" s="148" t="str">
        <f t="shared" si="8"/>
        <v/>
      </c>
      <c r="C116" s="153"/>
      <c r="D116" s="148" t="str">
        <f t="shared" si="7"/>
        <v/>
      </c>
      <c r="E116" s="159"/>
      <c r="F116" s="148" t="str">
        <f t="shared" si="9"/>
        <v/>
      </c>
      <c r="G116" s="156"/>
      <c r="H116" s="156"/>
      <c r="I116" s="156"/>
      <c r="J116" s="174"/>
      <c r="K116" s="173"/>
      <c r="L116" s="173"/>
      <c r="M116" s="174"/>
      <c r="N116" s="174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138</v>
      </c>
      <c r="X116" s="144" t="str">
        <f t="shared" si="12"/>
        <v>45</v>
      </c>
      <c r="Y116" s="144" t="str">
        <f t="shared" si="13"/>
        <v>454</v>
      </c>
      <c r="AA116" s="144" t="s">
        <v>689</v>
      </c>
      <c r="AB116" s="144" t="s">
        <v>690</v>
      </c>
    </row>
    <row r="117" spans="1:28">
      <c r="A117" s="153"/>
      <c r="B117" s="148" t="str">
        <f t="shared" si="8"/>
        <v/>
      </c>
      <c r="C117" s="153"/>
      <c r="D117" s="148" t="str">
        <f t="shared" si="7"/>
        <v/>
      </c>
      <c r="E117" s="159"/>
      <c r="F117" s="148" t="str">
        <f t="shared" si="9"/>
        <v/>
      </c>
      <c r="G117" s="156"/>
      <c r="H117" s="156"/>
      <c r="I117" s="156"/>
      <c r="J117" s="174"/>
      <c r="K117" s="173"/>
      <c r="L117" s="173"/>
      <c r="M117" s="174"/>
      <c r="N117" s="174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194</v>
      </c>
      <c r="X117" s="144" t="str">
        <f t="shared" si="12"/>
        <v>51</v>
      </c>
      <c r="Y117" s="144" t="str">
        <f t="shared" si="13"/>
        <v>512</v>
      </c>
      <c r="AA117" s="144" t="s">
        <v>691</v>
      </c>
      <c r="AB117" s="144" t="s">
        <v>692</v>
      </c>
    </row>
    <row r="118" spans="1:28">
      <c r="A118" s="153"/>
      <c r="B118" s="148" t="str">
        <f t="shared" si="8"/>
        <v/>
      </c>
      <c r="C118" s="153"/>
      <c r="D118" s="148" t="str">
        <f t="shared" si="7"/>
        <v/>
      </c>
      <c r="E118" s="159"/>
      <c r="F118" s="148" t="str">
        <f t="shared" si="9"/>
        <v/>
      </c>
      <c r="G118" s="156"/>
      <c r="H118" s="156"/>
      <c r="I118" s="156"/>
      <c r="J118" s="174"/>
      <c r="K118" s="173"/>
      <c r="L118" s="173"/>
      <c r="M118" s="174"/>
      <c r="N118" s="174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170</v>
      </c>
      <c r="X118" s="144" t="str">
        <f t="shared" si="12"/>
        <v>54</v>
      </c>
      <c r="Y118" s="144" t="str">
        <f t="shared" si="13"/>
        <v>544</v>
      </c>
      <c r="AA118" s="144" t="s">
        <v>693</v>
      </c>
      <c r="AB118" s="144" t="s">
        <v>694</v>
      </c>
    </row>
    <row r="119" spans="1:28">
      <c r="A119" s="153"/>
      <c r="B119" s="148" t="str">
        <f t="shared" si="8"/>
        <v/>
      </c>
      <c r="C119" s="153"/>
      <c r="D119" s="148" t="str">
        <f t="shared" si="7"/>
        <v/>
      </c>
      <c r="E119" s="159"/>
      <c r="F119" s="148" t="str">
        <f t="shared" si="9"/>
        <v/>
      </c>
      <c r="G119" s="156"/>
      <c r="H119" s="156"/>
      <c r="I119" s="156"/>
      <c r="J119" s="174"/>
      <c r="K119" s="173"/>
      <c r="L119" s="173"/>
      <c r="M119" s="174"/>
      <c r="N119" s="174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386</v>
      </c>
      <c r="X119" s="144" t="str">
        <f t="shared" si="12"/>
        <v>51</v>
      </c>
      <c r="Y119" s="144" t="str">
        <f t="shared" si="13"/>
        <v>512</v>
      </c>
      <c r="AA119" s="144" t="s">
        <v>695</v>
      </c>
      <c r="AB119" s="144" t="s">
        <v>696</v>
      </c>
    </row>
    <row r="120" spans="1:28">
      <c r="A120" s="153"/>
      <c r="B120" s="148" t="str">
        <f t="shared" si="8"/>
        <v/>
      </c>
      <c r="C120" s="153"/>
      <c r="D120" s="148" t="str">
        <f t="shared" si="7"/>
        <v/>
      </c>
      <c r="E120" s="159"/>
      <c r="F120" s="148" t="str">
        <f t="shared" si="9"/>
        <v/>
      </c>
      <c r="G120" s="156"/>
      <c r="H120" s="156"/>
      <c r="I120" s="156"/>
      <c r="J120" s="174"/>
      <c r="K120" s="173"/>
      <c r="L120" s="173"/>
      <c r="M120" s="174"/>
      <c r="N120" s="174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387</v>
      </c>
      <c r="X120" s="144" t="str">
        <f t="shared" si="12"/>
        <v>51</v>
      </c>
      <c r="Y120" s="144" t="str">
        <f t="shared" si="13"/>
        <v>512</v>
      </c>
      <c r="AA120" s="144" t="s">
        <v>697</v>
      </c>
      <c r="AB120" s="144" t="s">
        <v>698</v>
      </c>
    </row>
    <row r="121" spans="1:28">
      <c r="A121" s="153"/>
      <c r="B121" s="148" t="str">
        <f t="shared" si="8"/>
        <v/>
      </c>
      <c r="C121" s="153"/>
      <c r="D121" s="148" t="str">
        <f t="shared" si="7"/>
        <v/>
      </c>
      <c r="E121" s="159"/>
      <c r="F121" s="148" t="str">
        <f t="shared" si="9"/>
        <v/>
      </c>
      <c r="G121" s="156"/>
      <c r="H121" s="156"/>
      <c r="I121" s="156"/>
      <c r="J121" s="174"/>
      <c r="K121" s="173"/>
      <c r="L121" s="173"/>
      <c r="M121" s="174"/>
      <c r="N121" s="174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388</v>
      </c>
      <c r="X121" s="144" t="str">
        <f t="shared" si="12"/>
        <v>51</v>
      </c>
      <c r="Y121" s="144" t="str">
        <f t="shared" si="13"/>
        <v>514</v>
      </c>
      <c r="AA121" s="144" t="s">
        <v>699</v>
      </c>
      <c r="AB121" s="144" t="s">
        <v>700</v>
      </c>
    </row>
    <row r="122" spans="1:28">
      <c r="A122" s="153"/>
      <c r="B122" s="148" t="str">
        <f t="shared" si="8"/>
        <v/>
      </c>
      <c r="C122" s="153"/>
      <c r="D122" s="148" t="str">
        <f t="shared" si="7"/>
        <v/>
      </c>
      <c r="E122" s="159"/>
      <c r="F122" s="148" t="str">
        <f t="shared" si="9"/>
        <v/>
      </c>
      <c r="G122" s="156"/>
      <c r="H122" s="156"/>
      <c r="I122" s="156"/>
      <c r="J122" s="174"/>
      <c r="K122" s="173"/>
      <c r="L122" s="173"/>
      <c r="M122" s="174"/>
      <c r="N122" s="174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389</v>
      </c>
      <c r="X122" s="144" t="str">
        <f t="shared" si="12"/>
        <v>51</v>
      </c>
      <c r="Y122" s="144" t="str">
        <f t="shared" si="13"/>
        <v>518</v>
      </c>
      <c r="AA122" s="144" t="s">
        <v>701</v>
      </c>
      <c r="AB122" s="144" t="s">
        <v>702</v>
      </c>
    </row>
    <row r="123" spans="1:28">
      <c r="A123" s="153"/>
      <c r="B123" s="148" t="str">
        <f t="shared" si="8"/>
        <v/>
      </c>
      <c r="C123" s="153"/>
      <c r="D123" s="148" t="str">
        <f t="shared" si="7"/>
        <v/>
      </c>
      <c r="E123" s="159"/>
      <c r="F123" s="148" t="str">
        <f t="shared" si="9"/>
        <v/>
      </c>
      <c r="G123" s="156"/>
      <c r="H123" s="156"/>
      <c r="I123" s="156"/>
      <c r="J123" s="174"/>
      <c r="K123" s="173"/>
      <c r="L123" s="173"/>
      <c r="M123" s="174"/>
      <c r="N123" s="174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390</v>
      </c>
      <c r="X123" s="144" t="str">
        <f t="shared" si="12"/>
        <v>51</v>
      </c>
      <c r="Y123" s="144" t="str">
        <f t="shared" si="13"/>
        <v>518</v>
      </c>
      <c r="AA123" s="144" t="s">
        <v>703</v>
      </c>
      <c r="AB123" s="144" t="s">
        <v>704</v>
      </c>
    </row>
    <row r="124" spans="1:28">
      <c r="A124" s="153"/>
      <c r="B124" s="148" t="str">
        <f t="shared" si="8"/>
        <v/>
      </c>
      <c r="C124" s="153"/>
      <c r="D124" s="148" t="str">
        <f t="shared" si="7"/>
        <v/>
      </c>
      <c r="E124" s="159"/>
      <c r="F124" s="148" t="str">
        <f t="shared" si="9"/>
        <v/>
      </c>
      <c r="G124" s="156"/>
      <c r="H124" s="156"/>
      <c r="I124" s="156"/>
      <c r="J124" s="174"/>
      <c r="K124" s="173"/>
      <c r="L124" s="173"/>
      <c r="M124" s="174"/>
      <c r="N124" s="174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391</v>
      </c>
      <c r="X124" s="144" t="str">
        <f t="shared" si="12"/>
        <v>54</v>
      </c>
      <c r="Y124" s="144" t="str">
        <f t="shared" si="13"/>
        <v>542</v>
      </c>
      <c r="AA124" s="144" t="s">
        <v>705</v>
      </c>
      <c r="AB124" s="144" t="s">
        <v>706</v>
      </c>
    </row>
    <row r="125" spans="1:28">
      <c r="A125" s="153"/>
      <c r="B125" s="148" t="str">
        <f t="shared" si="8"/>
        <v/>
      </c>
      <c r="C125" s="153"/>
      <c r="D125" s="148" t="str">
        <f t="shared" si="7"/>
        <v/>
      </c>
      <c r="E125" s="159"/>
      <c r="F125" s="148" t="str">
        <f t="shared" si="9"/>
        <v/>
      </c>
      <c r="G125" s="156"/>
      <c r="H125" s="156"/>
      <c r="I125" s="156"/>
      <c r="J125" s="174"/>
      <c r="K125" s="173"/>
      <c r="L125" s="173"/>
      <c r="M125" s="174"/>
      <c r="N125" s="174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369</v>
      </c>
      <c r="X125" s="144" t="str">
        <f t="shared" si="12"/>
        <v>54</v>
      </c>
      <c r="Y125" s="144" t="str">
        <f t="shared" si="13"/>
        <v>543</v>
      </c>
      <c r="AA125" s="144" t="s">
        <v>707</v>
      </c>
      <c r="AB125" s="144" t="s">
        <v>708</v>
      </c>
    </row>
    <row r="126" spans="1:28">
      <c r="A126" s="153"/>
      <c r="B126" s="148" t="str">
        <f t="shared" si="8"/>
        <v/>
      </c>
      <c r="C126" s="153"/>
      <c r="D126" s="148" t="str">
        <f t="shared" si="7"/>
        <v/>
      </c>
      <c r="E126" s="159"/>
      <c r="F126" s="148" t="str">
        <f t="shared" si="9"/>
        <v/>
      </c>
      <c r="G126" s="156"/>
      <c r="H126" s="156"/>
      <c r="I126" s="156"/>
      <c r="J126" s="174"/>
      <c r="K126" s="173"/>
      <c r="L126" s="173"/>
      <c r="M126" s="174"/>
      <c r="N126" s="174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392</v>
      </c>
      <c r="X126" s="144" t="str">
        <f t="shared" si="12"/>
        <v>54</v>
      </c>
      <c r="Y126" s="144" t="str">
        <f t="shared" si="13"/>
        <v>544</v>
      </c>
      <c r="AA126" s="144" t="s">
        <v>709</v>
      </c>
      <c r="AB126" s="144" t="s">
        <v>710</v>
      </c>
    </row>
    <row r="127" spans="1:28">
      <c r="A127" s="153"/>
      <c r="B127" s="148" t="str">
        <f t="shared" si="8"/>
        <v/>
      </c>
      <c r="C127" s="153"/>
      <c r="D127" s="148" t="str">
        <f t="shared" si="7"/>
        <v/>
      </c>
      <c r="E127" s="159"/>
      <c r="F127" s="148" t="str">
        <f t="shared" si="9"/>
        <v/>
      </c>
      <c r="G127" s="156"/>
      <c r="H127" s="156"/>
      <c r="I127" s="156"/>
      <c r="J127" s="174"/>
      <c r="K127" s="173"/>
      <c r="L127" s="173"/>
      <c r="M127" s="174"/>
      <c r="N127" s="174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393</v>
      </c>
      <c r="X127" s="144" t="str">
        <f t="shared" si="12"/>
        <v>54</v>
      </c>
      <c r="Y127" s="144" t="str">
        <f t="shared" si="13"/>
        <v>544</v>
      </c>
      <c r="AA127" s="144" t="s">
        <v>711</v>
      </c>
      <c r="AB127" s="144" t="s">
        <v>712</v>
      </c>
    </row>
    <row r="128" spans="1:28">
      <c r="A128" s="153"/>
      <c r="B128" s="148" t="str">
        <f t="shared" si="8"/>
        <v/>
      </c>
      <c r="C128" s="153"/>
      <c r="D128" s="148" t="str">
        <f t="shared" si="7"/>
        <v/>
      </c>
      <c r="E128" s="159"/>
      <c r="F128" s="148" t="str">
        <f t="shared" si="9"/>
        <v/>
      </c>
      <c r="G128" s="156"/>
      <c r="H128" s="156"/>
      <c r="I128" s="156"/>
      <c r="J128" s="174"/>
      <c r="K128" s="173"/>
      <c r="L128" s="173"/>
      <c r="M128" s="174"/>
      <c r="N128" s="174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394</v>
      </c>
      <c r="X128" s="144" t="str">
        <f t="shared" si="12"/>
        <v>54</v>
      </c>
      <c r="Y128" s="144" t="str">
        <f t="shared" si="13"/>
        <v>545</v>
      </c>
      <c r="AA128" s="144" t="s">
        <v>713</v>
      </c>
      <c r="AB128" s="144" t="s">
        <v>714</v>
      </c>
    </row>
    <row r="129" spans="1:28">
      <c r="A129" s="153"/>
      <c r="B129" s="148" t="str">
        <f t="shared" si="8"/>
        <v/>
      </c>
      <c r="C129" s="153"/>
      <c r="D129" s="148" t="str">
        <f t="shared" si="7"/>
        <v/>
      </c>
      <c r="E129" s="159"/>
      <c r="F129" s="148" t="str">
        <f t="shared" si="9"/>
        <v/>
      </c>
      <c r="G129" s="156"/>
      <c r="H129" s="156"/>
      <c r="I129" s="156"/>
      <c r="J129" s="174"/>
      <c r="K129" s="173"/>
      <c r="L129" s="173"/>
      <c r="M129" s="174"/>
      <c r="N129" s="174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395</v>
      </c>
      <c r="X129" s="144" t="str">
        <f t="shared" si="12"/>
        <v>54</v>
      </c>
      <c r="Y129" s="144" t="str">
        <f t="shared" si="13"/>
        <v>547</v>
      </c>
      <c r="AA129" s="144" t="s">
        <v>715</v>
      </c>
      <c r="AB129" s="144" t="s">
        <v>716</v>
      </c>
    </row>
    <row r="130" spans="1:28">
      <c r="A130" s="153"/>
      <c r="B130" s="148" t="str">
        <f t="shared" si="8"/>
        <v/>
      </c>
      <c r="C130" s="153"/>
      <c r="D130" s="148" t="str">
        <f t="shared" si="7"/>
        <v/>
      </c>
      <c r="E130" s="159"/>
      <c r="F130" s="148" t="str">
        <f t="shared" si="9"/>
        <v/>
      </c>
      <c r="G130" s="156"/>
      <c r="H130" s="156"/>
      <c r="I130" s="156"/>
      <c r="J130" s="174"/>
      <c r="K130" s="173"/>
      <c r="L130" s="173"/>
      <c r="M130" s="174"/>
      <c r="N130" s="174"/>
      <c r="P130" s="144" t="str">
        <f t="shared" si="10"/>
        <v/>
      </c>
      <c r="Q130" s="144" t="str">
        <f t="shared" si="11"/>
        <v/>
      </c>
      <c r="AA130" s="144" t="s">
        <v>717</v>
      </c>
      <c r="AB130" s="144" t="s">
        <v>718</v>
      </c>
    </row>
    <row r="131" spans="1:28">
      <c r="A131" s="153"/>
      <c r="B131" s="148" t="str">
        <f t="shared" si="8"/>
        <v/>
      </c>
      <c r="C131" s="153"/>
      <c r="D131" s="148" t="str">
        <f t="shared" ref="D131:D194" si="14">IFERROR(VLOOKUP(C131,$U$5:$W$129,2,FALSE),"")</f>
        <v/>
      </c>
      <c r="E131" s="159"/>
      <c r="F131" s="148" t="str">
        <f t="shared" si="9"/>
        <v/>
      </c>
      <c r="G131" s="156"/>
      <c r="H131" s="156"/>
      <c r="I131" s="156"/>
      <c r="J131" s="174"/>
      <c r="K131" s="173"/>
      <c r="L131" s="173"/>
      <c r="M131" s="174"/>
      <c r="N131" s="174"/>
      <c r="P131" s="144" t="str">
        <f t="shared" si="10"/>
        <v/>
      </c>
      <c r="Q131" s="144" t="str">
        <f t="shared" si="11"/>
        <v/>
      </c>
      <c r="AA131" s="144" t="s">
        <v>719</v>
      </c>
      <c r="AB131" s="144" t="s">
        <v>720</v>
      </c>
    </row>
    <row r="132" spans="1:28">
      <c r="A132" s="153"/>
      <c r="B132" s="148" t="str">
        <f t="shared" ref="B132:B195" si="15">IFERROR(VLOOKUP(A132,$R$6:$S$16,2,FALSE),"")</f>
        <v/>
      </c>
      <c r="C132" s="153"/>
      <c r="D132" s="148" t="str">
        <f t="shared" si="14"/>
        <v/>
      </c>
      <c r="E132" s="159"/>
      <c r="F132" s="148" t="str">
        <f t="shared" ref="F132:F195" si="16">IFERROR(VLOOKUP(E132,$AA$6:$AB$200,2,FALSE),"")</f>
        <v/>
      </c>
      <c r="G132" s="156"/>
      <c r="H132" s="156"/>
      <c r="I132" s="156"/>
      <c r="J132" s="174"/>
      <c r="K132" s="173"/>
      <c r="L132" s="173"/>
      <c r="M132" s="174"/>
      <c r="N132" s="174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721</v>
      </c>
      <c r="AB132" s="144" t="s">
        <v>722</v>
      </c>
    </row>
    <row r="133" spans="1:28">
      <c r="A133" s="153"/>
      <c r="B133" s="148" t="str">
        <f t="shared" si="15"/>
        <v/>
      </c>
      <c r="C133" s="153"/>
      <c r="D133" s="148" t="str">
        <f t="shared" si="14"/>
        <v/>
      </c>
      <c r="E133" s="159"/>
      <c r="F133" s="148" t="str">
        <f t="shared" si="16"/>
        <v/>
      </c>
      <c r="G133" s="156"/>
      <c r="H133" s="156"/>
      <c r="I133" s="156"/>
      <c r="J133" s="174"/>
      <c r="K133" s="173"/>
      <c r="L133" s="173"/>
      <c r="M133" s="174"/>
      <c r="N133" s="174"/>
      <c r="P133" s="144" t="str">
        <f t="shared" si="17"/>
        <v/>
      </c>
      <c r="Q133" s="144" t="str">
        <f t="shared" si="18"/>
        <v/>
      </c>
      <c r="AA133" s="144" t="s">
        <v>723</v>
      </c>
      <c r="AB133" s="144" t="s">
        <v>724</v>
      </c>
    </row>
    <row r="134" spans="1:28">
      <c r="A134" s="153"/>
      <c r="B134" s="148" t="str">
        <f t="shared" si="15"/>
        <v/>
      </c>
      <c r="C134" s="153"/>
      <c r="D134" s="148" t="str">
        <f t="shared" si="14"/>
        <v/>
      </c>
      <c r="E134" s="159"/>
      <c r="F134" s="148" t="str">
        <f t="shared" si="16"/>
        <v/>
      </c>
      <c r="G134" s="156"/>
      <c r="H134" s="156"/>
      <c r="I134" s="156"/>
      <c r="J134" s="174"/>
      <c r="K134" s="173"/>
      <c r="L134" s="173"/>
      <c r="M134" s="174"/>
      <c r="N134" s="174"/>
      <c r="P134" s="144" t="str">
        <f t="shared" si="17"/>
        <v/>
      </c>
      <c r="Q134" s="144" t="str">
        <f t="shared" si="18"/>
        <v/>
      </c>
      <c r="AA134" s="144" t="s">
        <v>725</v>
      </c>
      <c r="AB134" s="144" t="s">
        <v>726</v>
      </c>
    </row>
    <row r="135" spans="1:28">
      <c r="A135" s="153"/>
      <c r="B135" s="148" t="str">
        <f t="shared" si="15"/>
        <v/>
      </c>
      <c r="C135" s="153"/>
      <c r="D135" s="148" t="str">
        <f t="shared" si="14"/>
        <v/>
      </c>
      <c r="E135" s="159"/>
      <c r="F135" s="148" t="str">
        <f t="shared" si="16"/>
        <v/>
      </c>
      <c r="G135" s="156"/>
      <c r="H135" s="156"/>
      <c r="I135" s="156"/>
      <c r="J135" s="174"/>
      <c r="K135" s="173"/>
      <c r="L135" s="173"/>
      <c r="M135" s="174"/>
      <c r="N135" s="174"/>
      <c r="P135" s="144" t="str">
        <f t="shared" si="17"/>
        <v/>
      </c>
      <c r="Q135" s="144" t="str">
        <f t="shared" si="18"/>
        <v/>
      </c>
      <c r="AA135" s="144" t="s">
        <v>727</v>
      </c>
      <c r="AB135" s="144" t="s">
        <v>728</v>
      </c>
    </row>
    <row r="136" spans="1:28">
      <c r="A136" s="153"/>
      <c r="B136" s="148" t="str">
        <f t="shared" si="15"/>
        <v/>
      </c>
      <c r="C136" s="153"/>
      <c r="D136" s="148" t="str">
        <f t="shared" si="14"/>
        <v/>
      </c>
      <c r="E136" s="159"/>
      <c r="F136" s="148" t="str">
        <f t="shared" si="16"/>
        <v/>
      </c>
      <c r="G136" s="156"/>
      <c r="H136" s="156"/>
      <c r="I136" s="156"/>
      <c r="J136" s="174"/>
      <c r="K136" s="173"/>
      <c r="L136" s="173"/>
      <c r="M136" s="174"/>
      <c r="N136" s="174"/>
      <c r="P136" s="144" t="str">
        <f t="shared" si="17"/>
        <v/>
      </c>
      <c r="Q136" s="144" t="str">
        <f t="shared" si="18"/>
        <v/>
      </c>
      <c r="AA136" s="144" t="s">
        <v>729</v>
      </c>
      <c r="AB136" s="144" t="s">
        <v>730</v>
      </c>
    </row>
    <row r="137" spans="1:28">
      <c r="A137" s="153"/>
      <c r="B137" s="148" t="str">
        <f t="shared" si="15"/>
        <v/>
      </c>
      <c r="C137" s="153"/>
      <c r="D137" s="148" t="str">
        <f t="shared" si="14"/>
        <v/>
      </c>
      <c r="E137" s="159"/>
      <c r="F137" s="148" t="str">
        <f t="shared" si="16"/>
        <v/>
      </c>
      <c r="G137" s="156"/>
      <c r="H137" s="156"/>
      <c r="I137" s="156"/>
      <c r="J137" s="174"/>
      <c r="K137" s="173"/>
      <c r="L137" s="173"/>
      <c r="M137" s="174"/>
      <c r="N137" s="174"/>
      <c r="P137" s="144" t="str">
        <f t="shared" si="17"/>
        <v/>
      </c>
      <c r="Q137" s="144" t="str">
        <f t="shared" si="18"/>
        <v/>
      </c>
      <c r="AA137" s="144" t="s">
        <v>731</v>
      </c>
      <c r="AB137" s="144" t="s">
        <v>732</v>
      </c>
    </row>
    <row r="138" spans="1:28">
      <c r="A138" s="153"/>
      <c r="B138" s="148" t="str">
        <f t="shared" si="15"/>
        <v/>
      </c>
      <c r="C138" s="153"/>
      <c r="D138" s="148" t="str">
        <f t="shared" si="14"/>
        <v/>
      </c>
      <c r="E138" s="159"/>
      <c r="F138" s="148" t="str">
        <f t="shared" si="16"/>
        <v/>
      </c>
      <c r="G138" s="156"/>
      <c r="H138" s="156"/>
      <c r="I138" s="156"/>
      <c r="J138" s="174"/>
      <c r="K138" s="173"/>
      <c r="L138" s="173"/>
      <c r="M138" s="174"/>
      <c r="N138" s="174"/>
      <c r="P138" s="144" t="str">
        <f t="shared" si="17"/>
        <v/>
      </c>
      <c r="Q138" s="144" t="str">
        <f t="shared" si="18"/>
        <v/>
      </c>
      <c r="AA138" s="144" t="s">
        <v>733</v>
      </c>
      <c r="AB138" s="144" t="s">
        <v>734</v>
      </c>
    </row>
    <row r="139" spans="1:28">
      <c r="A139" s="153"/>
      <c r="B139" s="148" t="str">
        <f t="shared" si="15"/>
        <v/>
      </c>
      <c r="C139" s="153"/>
      <c r="D139" s="148" t="str">
        <f t="shared" si="14"/>
        <v/>
      </c>
      <c r="E139" s="159"/>
      <c r="F139" s="148" t="str">
        <f t="shared" si="16"/>
        <v/>
      </c>
      <c r="G139" s="156"/>
      <c r="H139" s="156"/>
      <c r="I139" s="156"/>
      <c r="J139" s="174"/>
      <c r="K139" s="173"/>
      <c r="L139" s="173"/>
      <c r="M139" s="174"/>
      <c r="N139" s="174"/>
      <c r="P139" s="144" t="str">
        <f t="shared" si="17"/>
        <v/>
      </c>
      <c r="Q139" s="144" t="str">
        <f t="shared" si="18"/>
        <v/>
      </c>
      <c r="AA139" s="144" t="s">
        <v>735</v>
      </c>
      <c r="AB139" s="144" t="s">
        <v>736</v>
      </c>
    </row>
    <row r="140" spans="1:28">
      <c r="A140" s="153"/>
      <c r="B140" s="148" t="str">
        <f t="shared" si="15"/>
        <v/>
      </c>
      <c r="C140" s="153"/>
      <c r="D140" s="148" t="str">
        <f t="shared" si="14"/>
        <v/>
      </c>
      <c r="E140" s="159"/>
      <c r="F140" s="148" t="str">
        <f t="shared" si="16"/>
        <v/>
      </c>
      <c r="G140" s="156"/>
      <c r="H140" s="156"/>
      <c r="I140" s="156"/>
      <c r="J140" s="174"/>
      <c r="K140" s="173"/>
      <c r="L140" s="173"/>
      <c r="M140" s="174"/>
      <c r="N140" s="174"/>
      <c r="P140" s="144" t="str">
        <f t="shared" si="17"/>
        <v/>
      </c>
      <c r="Q140" s="144" t="str">
        <f t="shared" si="18"/>
        <v/>
      </c>
      <c r="AA140" s="144" t="s">
        <v>737</v>
      </c>
      <c r="AB140" s="144" t="s">
        <v>738</v>
      </c>
    </row>
    <row r="141" spans="1:28">
      <c r="A141" s="153"/>
      <c r="B141" s="148" t="str">
        <f t="shared" si="15"/>
        <v/>
      </c>
      <c r="C141" s="153"/>
      <c r="D141" s="148" t="str">
        <f t="shared" si="14"/>
        <v/>
      </c>
      <c r="E141" s="159"/>
      <c r="F141" s="148" t="str">
        <f t="shared" si="16"/>
        <v/>
      </c>
      <c r="G141" s="156"/>
      <c r="H141" s="156"/>
      <c r="I141" s="156"/>
      <c r="J141" s="174"/>
      <c r="K141" s="173"/>
      <c r="L141" s="173"/>
      <c r="M141" s="174"/>
      <c r="N141" s="174"/>
      <c r="P141" s="144" t="str">
        <f t="shared" si="17"/>
        <v/>
      </c>
      <c r="Q141" s="144" t="str">
        <f t="shared" si="18"/>
        <v/>
      </c>
      <c r="AA141" s="144" t="s">
        <v>739</v>
      </c>
      <c r="AB141" s="144" t="s">
        <v>740</v>
      </c>
    </row>
    <row r="142" spans="1:28">
      <c r="A142" s="153"/>
      <c r="B142" s="148" t="str">
        <f t="shared" si="15"/>
        <v/>
      </c>
      <c r="C142" s="153"/>
      <c r="D142" s="148" t="str">
        <f t="shared" si="14"/>
        <v/>
      </c>
      <c r="E142" s="159"/>
      <c r="F142" s="148" t="str">
        <f t="shared" si="16"/>
        <v/>
      </c>
      <c r="G142" s="156"/>
      <c r="H142" s="156"/>
      <c r="I142" s="156"/>
      <c r="J142" s="174"/>
      <c r="K142" s="173"/>
      <c r="L142" s="173"/>
      <c r="M142" s="174"/>
      <c r="N142" s="174"/>
      <c r="P142" s="144" t="str">
        <f t="shared" si="17"/>
        <v/>
      </c>
      <c r="Q142" s="144" t="str">
        <f t="shared" si="18"/>
        <v/>
      </c>
      <c r="AA142" s="144" t="s">
        <v>741</v>
      </c>
      <c r="AB142" s="144" t="s">
        <v>742</v>
      </c>
    </row>
    <row r="143" spans="1:28">
      <c r="A143" s="153"/>
      <c r="B143" s="148" t="str">
        <f t="shared" si="15"/>
        <v/>
      </c>
      <c r="C143" s="153"/>
      <c r="D143" s="148" t="str">
        <f t="shared" si="14"/>
        <v/>
      </c>
      <c r="E143" s="159"/>
      <c r="F143" s="148" t="str">
        <f t="shared" si="16"/>
        <v/>
      </c>
      <c r="G143" s="156"/>
      <c r="H143" s="156"/>
      <c r="I143" s="156"/>
      <c r="J143" s="174"/>
      <c r="K143" s="173"/>
      <c r="L143" s="173"/>
      <c r="M143" s="174"/>
      <c r="N143" s="174"/>
      <c r="P143" s="144" t="str">
        <f t="shared" si="17"/>
        <v/>
      </c>
      <c r="Q143" s="144" t="str">
        <f t="shared" si="18"/>
        <v/>
      </c>
      <c r="AA143" s="144" t="s">
        <v>743</v>
      </c>
      <c r="AB143" s="144" t="s">
        <v>744</v>
      </c>
    </row>
    <row r="144" spans="1:28">
      <c r="A144" s="153"/>
      <c r="B144" s="148" t="str">
        <f t="shared" si="15"/>
        <v/>
      </c>
      <c r="C144" s="153"/>
      <c r="D144" s="148" t="str">
        <f t="shared" si="14"/>
        <v/>
      </c>
      <c r="E144" s="159"/>
      <c r="F144" s="148" t="str">
        <f t="shared" si="16"/>
        <v/>
      </c>
      <c r="G144" s="156"/>
      <c r="H144" s="156"/>
      <c r="I144" s="156"/>
      <c r="J144" s="174"/>
      <c r="K144" s="173"/>
      <c r="L144" s="173"/>
      <c r="M144" s="174"/>
      <c r="N144" s="174"/>
      <c r="P144" s="144" t="str">
        <f t="shared" si="17"/>
        <v/>
      </c>
      <c r="Q144" s="144" t="str">
        <f t="shared" si="18"/>
        <v/>
      </c>
      <c r="AA144" s="144" t="s">
        <v>745</v>
      </c>
      <c r="AB144" s="144" t="s">
        <v>746</v>
      </c>
    </row>
    <row r="145" spans="1:28">
      <c r="A145" s="153"/>
      <c r="B145" s="148" t="str">
        <f t="shared" si="15"/>
        <v/>
      </c>
      <c r="C145" s="153"/>
      <c r="D145" s="148" t="str">
        <f t="shared" si="14"/>
        <v/>
      </c>
      <c r="E145" s="159"/>
      <c r="F145" s="148" t="str">
        <f t="shared" si="16"/>
        <v/>
      </c>
      <c r="G145" s="156"/>
      <c r="H145" s="156"/>
      <c r="I145" s="156"/>
      <c r="J145" s="174"/>
      <c r="K145" s="173"/>
      <c r="L145" s="173"/>
      <c r="M145" s="174"/>
      <c r="N145" s="174"/>
      <c r="P145" s="144" t="str">
        <f t="shared" si="17"/>
        <v/>
      </c>
      <c r="Q145" s="144" t="str">
        <f t="shared" si="18"/>
        <v/>
      </c>
      <c r="AA145" s="144" t="s">
        <v>747</v>
      </c>
      <c r="AB145" s="144" t="s">
        <v>748</v>
      </c>
    </row>
    <row r="146" spans="1:28">
      <c r="A146" s="153"/>
      <c r="B146" s="148" t="str">
        <f t="shared" si="15"/>
        <v/>
      </c>
      <c r="C146" s="153"/>
      <c r="D146" s="148" t="str">
        <f t="shared" si="14"/>
        <v/>
      </c>
      <c r="E146" s="159"/>
      <c r="F146" s="148" t="str">
        <f t="shared" si="16"/>
        <v/>
      </c>
      <c r="G146" s="156"/>
      <c r="H146" s="156"/>
      <c r="I146" s="156"/>
      <c r="J146" s="174"/>
      <c r="K146" s="173"/>
      <c r="L146" s="173"/>
      <c r="M146" s="174"/>
      <c r="N146" s="174"/>
      <c r="P146" s="144" t="str">
        <f t="shared" si="17"/>
        <v/>
      </c>
      <c r="Q146" s="144" t="str">
        <f t="shared" si="18"/>
        <v/>
      </c>
      <c r="AA146" s="144" t="s">
        <v>749</v>
      </c>
      <c r="AB146" s="144" t="s">
        <v>750</v>
      </c>
    </row>
    <row r="147" spans="1:28">
      <c r="A147" s="153"/>
      <c r="B147" s="148" t="str">
        <f t="shared" si="15"/>
        <v/>
      </c>
      <c r="C147" s="153"/>
      <c r="D147" s="148" t="str">
        <f t="shared" si="14"/>
        <v/>
      </c>
      <c r="E147" s="159"/>
      <c r="F147" s="148" t="str">
        <f t="shared" si="16"/>
        <v/>
      </c>
      <c r="G147" s="156"/>
      <c r="H147" s="156"/>
      <c r="I147" s="156"/>
      <c r="J147" s="174"/>
      <c r="K147" s="173"/>
      <c r="L147" s="173"/>
      <c r="M147" s="174"/>
      <c r="N147" s="174"/>
      <c r="P147" s="144" t="str">
        <f t="shared" si="17"/>
        <v/>
      </c>
      <c r="Q147" s="144" t="str">
        <f t="shared" si="18"/>
        <v/>
      </c>
      <c r="AA147" s="144" t="s">
        <v>751</v>
      </c>
      <c r="AB147" s="144" t="s">
        <v>752</v>
      </c>
    </row>
    <row r="148" spans="1:28">
      <c r="A148" s="153"/>
      <c r="B148" s="148" t="str">
        <f t="shared" si="15"/>
        <v/>
      </c>
      <c r="C148" s="153"/>
      <c r="D148" s="148" t="str">
        <f t="shared" si="14"/>
        <v/>
      </c>
      <c r="E148" s="159"/>
      <c r="F148" s="148" t="str">
        <f t="shared" si="16"/>
        <v/>
      </c>
      <c r="G148" s="156"/>
      <c r="H148" s="156"/>
      <c r="I148" s="156"/>
      <c r="J148" s="174"/>
      <c r="K148" s="173"/>
      <c r="L148" s="173"/>
      <c r="M148" s="174"/>
      <c r="N148" s="174"/>
      <c r="P148" s="144" t="str">
        <f t="shared" si="17"/>
        <v/>
      </c>
      <c r="Q148" s="144" t="str">
        <f t="shared" si="18"/>
        <v/>
      </c>
      <c r="AA148" s="144" t="s">
        <v>753</v>
      </c>
      <c r="AB148" s="144" t="s">
        <v>754</v>
      </c>
    </row>
    <row r="149" spans="1:28">
      <c r="A149" s="153"/>
      <c r="B149" s="148" t="str">
        <f t="shared" si="15"/>
        <v/>
      </c>
      <c r="C149" s="153"/>
      <c r="D149" s="148" t="str">
        <f t="shared" si="14"/>
        <v/>
      </c>
      <c r="E149" s="159"/>
      <c r="F149" s="148" t="str">
        <f t="shared" si="16"/>
        <v/>
      </c>
      <c r="G149" s="156"/>
      <c r="H149" s="156"/>
      <c r="I149" s="156"/>
      <c r="J149" s="174"/>
      <c r="K149" s="173"/>
      <c r="L149" s="173"/>
      <c r="M149" s="174"/>
      <c r="N149" s="174"/>
      <c r="P149" s="144" t="str">
        <f t="shared" si="17"/>
        <v/>
      </c>
      <c r="Q149" s="144" t="str">
        <f t="shared" si="18"/>
        <v/>
      </c>
      <c r="AA149" s="144" t="s">
        <v>755</v>
      </c>
      <c r="AB149" s="144" t="s">
        <v>353</v>
      </c>
    </row>
    <row r="150" spans="1:28">
      <c r="A150" s="153"/>
      <c r="B150" s="148" t="str">
        <f t="shared" si="15"/>
        <v/>
      </c>
      <c r="C150" s="153"/>
      <c r="D150" s="148" t="str">
        <f t="shared" si="14"/>
        <v/>
      </c>
      <c r="E150" s="159"/>
      <c r="F150" s="148" t="str">
        <f t="shared" si="16"/>
        <v/>
      </c>
      <c r="G150" s="156"/>
      <c r="H150" s="156"/>
      <c r="I150" s="156"/>
      <c r="J150" s="174"/>
      <c r="K150" s="173"/>
      <c r="L150" s="173"/>
      <c r="M150" s="174"/>
      <c r="N150" s="174"/>
      <c r="P150" s="144" t="str">
        <f t="shared" si="17"/>
        <v/>
      </c>
      <c r="Q150" s="144" t="str">
        <f t="shared" si="18"/>
        <v/>
      </c>
      <c r="AA150" s="144" t="s">
        <v>756</v>
      </c>
      <c r="AB150" s="144" t="s">
        <v>354</v>
      </c>
    </row>
    <row r="151" spans="1:28">
      <c r="A151" s="153"/>
      <c r="B151" s="148" t="str">
        <f t="shared" si="15"/>
        <v/>
      </c>
      <c r="C151" s="153"/>
      <c r="D151" s="148" t="str">
        <f t="shared" si="14"/>
        <v/>
      </c>
      <c r="E151" s="159"/>
      <c r="F151" s="148" t="str">
        <f t="shared" si="16"/>
        <v/>
      </c>
      <c r="G151" s="156"/>
      <c r="H151" s="156"/>
      <c r="I151" s="156"/>
      <c r="J151" s="174"/>
      <c r="K151" s="173"/>
      <c r="L151" s="173"/>
      <c r="M151" s="174"/>
      <c r="N151" s="174"/>
      <c r="P151" s="144" t="str">
        <f t="shared" si="17"/>
        <v/>
      </c>
      <c r="Q151" s="144" t="str">
        <f t="shared" si="18"/>
        <v/>
      </c>
      <c r="AA151" s="144" t="s">
        <v>757</v>
      </c>
      <c r="AB151" s="144" t="s">
        <v>758</v>
      </c>
    </row>
    <row r="152" spans="1:28">
      <c r="A152" s="153"/>
      <c r="B152" s="148" t="str">
        <f t="shared" si="15"/>
        <v/>
      </c>
      <c r="C152" s="153"/>
      <c r="D152" s="148" t="str">
        <f t="shared" si="14"/>
        <v/>
      </c>
      <c r="E152" s="159"/>
      <c r="F152" s="148" t="str">
        <f t="shared" si="16"/>
        <v/>
      </c>
      <c r="G152" s="156"/>
      <c r="H152" s="156"/>
      <c r="I152" s="156"/>
      <c r="J152" s="174"/>
      <c r="K152" s="173"/>
      <c r="L152" s="173"/>
      <c r="M152" s="174"/>
      <c r="N152" s="174"/>
      <c r="P152" s="144" t="str">
        <f t="shared" si="17"/>
        <v/>
      </c>
      <c r="Q152" s="144" t="str">
        <f t="shared" si="18"/>
        <v/>
      </c>
      <c r="AA152" s="144" t="s">
        <v>759</v>
      </c>
      <c r="AB152" s="144" t="s">
        <v>760</v>
      </c>
    </row>
    <row r="153" spans="1:28">
      <c r="A153" s="153"/>
      <c r="B153" s="148" t="str">
        <f t="shared" si="15"/>
        <v/>
      </c>
      <c r="C153" s="153"/>
      <c r="D153" s="148" t="str">
        <f t="shared" si="14"/>
        <v/>
      </c>
      <c r="E153" s="159"/>
      <c r="F153" s="148" t="str">
        <f t="shared" si="16"/>
        <v/>
      </c>
      <c r="G153" s="156"/>
      <c r="H153" s="156"/>
      <c r="I153" s="156"/>
      <c r="J153" s="174"/>
      <c r="K153" s="173"/>
      <c r="L153" s="173"/>
      <c r="M153" s="174"/>
      <c r="N153" s="174"/>
      <c r="P153" s="144" t="str">
        <f t="shared" si="17"/>
        <v/>
      </c>
      <c r="Q153" s="144" t="str">
        <f t="shared" si="18"/>
        <v/>
      </c>
      <c r="AA153" s="144" t="s">
        <v>761</v>
      </c>
      <c r="AB153" s="144" t="s">
        <v>762</v>
      </c>
    </row>
    <row r="154" spans="1:28">
      <c r="A154" s="153"/>
      <c r="B154" s="148" t="str">
        <f t="shared" si="15"/>
        <v/>
      </c>
      <c r="C154" s="153"/>
      <c r="D154" s="148" t="str">
        <f t="shared" si="14"/>
        <v/>
      </c>
      <c r="E154" s="159"/>
      <c r="F154" s="148" t="str">
        <f t="shared" si="16"/>
        <v/>
      </c>
      <c r="G154" s="156"/>
      <c r="H154" s="156"/>
      <c r="I154" s="156"/>
      <c r="J154" s="174"/>
      <c r="K154" s="173"/>
      <c r="L154" s="173"/>
      <c r="M154" s="174"/>
      <c r="N154" s="174"/>
      <c r="P154" s="144" t="str">
        <f t="shared" si="17"/>
        <v/>
      </c>
      <c r="Q154" s="144" t="str">
        <f t="shared" si="18"/>
        <v/>
      </c>
      <c r="AA154" s="144" t="s">
        <v>763</v>
      </c>
      <c r="AB154" s="144" t="s">
        <v>764</v>
      </c>
    </row>
    <row r="155" spans="1:28">
      <c r="A155" s="153"/>
      <c r="B155" s="148" t="str">
        <f t="shared" si="15"/>
        <v/>
      </c>
      <c r="C155" s="153"/>
      <c r="D155" s="148" t="str">
        <f t="shared" si="14"/>
        <v/>
      </c>
      <c r="E155" s="159"/>
      <c r="F155" s="148" t="str">
        <f t="shared" si="16"/>
        <v/>
      </c>
      <c r="G155" s="156"/>
      <c r="H155" s="156"/>
      <c r="I155" s="156"/>
      <c r="J155" s="174"/>
      <c r="K155" s="173"/>
      <c r="L155" s="173"/>
      <c r="M155" s="174"/>
      <c r="N155" s="174"/>
      <c r="P155" s="144" t="str">
        <f t="shared" si="17"/>
        <v/>
      </c>
      <c r="Q155" s="144" t="str">
        <f t="shared" si="18"/>
        <v/>
      </c>
      <c r="AA155" s="144" t="s">
        <v>765</v>
      </c>
      <c r="AB155" s="144" t="s">
        <v>766</v>
      </c>
    </row>
    <row r="156" spans="1:28">
      <c r="A156" s="153"/>
      <c r="B156" s="148" t="str">
        <f t="shared" si="15"/>
        <v/>
      </c>
      <c r="C156" s="153"/>
      <c r="D156" s="148" t="str">
        <f t="shared" si="14"/>
        <v/>
      </c>
      <c r="E156" s="159"/>
      <c r="F156" s="148" t="str">
        <f t="shared" si="16"/>
        <v/>
      </c>
      <c r="G156" s="156"/>
      <c r="H156" s="156"/>
      <c r="I156" s="156"/>
      <c r="J156" s="174"/>
      <c r="K156" s="173"/>
      <c r="L156" s="173"/>
      <c r="M156" s="174"/>
      <c r="N156" s="174"/>
      <c r="P156" s="144" t="str">
        <f t="shared" si="17"/>
        <v/>
      </c>
      <c r="Q156" s="144" t="str">
        <f t="shared" si="18"/>
        <v/>
      </c>
      <c r="AA156" s="144" t="s">
        <v>767</v>
      </c>
      <c r="AB156" s="144" t="s">
        <v>768</v>
      </c>
    </row>
    <row r="157" spans="1:28">
      <c r="A157" s="153"/>
      <c r="B157" s="148" t="str">
        <f t="shared" si="15"/>
        <v/>
      </c>
      <c r="C157" s="153"/>
      <c r="D157" s="148" t="str">
        <f t="shared" si="14"/>
        <v/>
      </c>
      <c r="E157" s="159"/>
      <c r="F157" s="148" t="str">
        <f t="shared" si="16"/>
        <v/>
      </c>
      <c r="G157" s="156"/>
      <c r="H157" s="156"/>
      <c r="I157" s="156"/>
      <c r="J157" s="174"/>
      <c r="K157" s="173"/>
      <c r="L157" s="173"/>
      <c r="M157" s="174"/>
      <c r="N157" s="174"/>
      <c r="P157" s="144" t="str">
        <f t="shared" si="17"/>
        <v/>
      </c>
      <c r="Q157" s="144" t="str">
        <f t="shared" si="18"/>
        <v/>
      </c>
      <c r="AA157" s="144" t="s">
        <v>769</v>
      </c>
      <c r="AB157" s="144" t="s">
        <v>770</v>
      </c>
    </row>
    <row r="158" spans="1:28">
      <c r="A158" s="153"/>
      <c r="B158" s="148" t="str">
        <f t="shared" si="15"/>
        <v/>
      </c>
      <c r="C158" s="153"/>
      <c r="D158" s="148" t="str">
        <f t="shared" si="14"/>
        <v/>
      </c>
      <c r="E158" s="159"/>
      <c r="F158" s="148" t="str">
        <f t="shared" si="16"/>
        <v/>
      </c>
      <c r="G158" s="156"/>
      <c r="H158" s="156"/>
      <c r="I158" s="156"/>
      <c r="J158" s="174"/>
      <c r="K158" s="173"/>
      <c r="L158" s="173"/>
      <c r="M158" s="174"/>
      <c r="N158" s="174"/>
      <c r="P158" s="144" t="str">
        <f t="shared" si="17"/>
        <v/>
      </c>
      <c r="Q158" s="144" t="str">
        <f t="shared" si="18"/>
        <v/>
      </c>
      <c r="AA158" s="144" t="s">
        <v>771</v>
      </c>
      <c r="AB158" s="144" t="s">
        <v>772</v>
      </c>
    </row>
    <row r="159" spans="1:28">
      <c r="A159" s="153"/>
      <c r="B159" s="148" t="str">
        <f t="shared" si="15"/>
        <v/>
      </c>
      <c r="C159" s="153"/>
      <c r="D159" s="148" t="str">
        <f t="shared" si="14"/>
        <v/>
      </c>
      <c r="E159" s="159"/>
      <c r="F159" s="148" t="str">
        <f t="shared" si="16"/>
        <v/>
      </c>
      <c r="G159" s="156"/>
      <c r="H159" s="156"/>
      <c r="I159" s="156"/>
      <c r="J159" s="174"/>
      <c r="K159" s="173"/>
      <c r="L159" s="173"/>
      <c r="M159" s="174"/>
      <c r="N159" s="174"/>
      <c r="P159" s="144" t="str">
        <f t="shared" si="17"/>
        <v/>
      </c>
      <c r="Q159" s="144" t="str">
        <f t="shared" si="18"/>
        <v/>
      </c>
      <c r="AA159" s="144" t="s">
        <v>773</v>
      </c>
      <c r="AB159" s="144" t="s">
        <v>774</v>
      </c>
    </row>
    <row r="160" spans="1:28">
      <c r="A160" s="153"/>
      <c r="B160" s="148" t="str">
        <f t="shared" si="15"/>
        <v/>
      </c>
      <c r="C160" s="153"/>
      <c r="D160" s="148" t="str">
        <f t="shared" si="14"/>
        <v/>
      </c>
      <c r="E160" s="159"/>
      <c r="F160" s="148" t="str">
        <f t="shared" si="16"/>
        <v/>
      </c>
      <c r="G160" s="156"/>
      <c r="H160" s="156"/>
      <c r="I160" s="156"/>
      <c r="J160" s="174"/>
      <c r="K160" s="173"/>
      <c r="L160" s="173"/>
      <c r="M160" s="174"/>
      <c r="N160" s="174"/>
      <c r="P160" s="144" t="str">
        <f t="shared" si="17"/>
        <v/>
      </c>
      <c r="Q160" s="144" t="str">
        <f t="shared" si="18"/>
        <v/>
      </c>
      <c r="AA160" s="144" t="s">
        <v>775</v>
      </c>
      <c r="AB160" s="144" t="s">
        <v>776</v>
      </c>
    </row>
    <row r="161" spans="1:28">
      <c r="A161" s="153"/>
      <c r="B161" s="148" t="str">
        <f t="shared" si="15"/>
        <v/>
      </c>
      <c r="C161" s="153"/>
      <c r="D161" s="148" t="str">
        <f t="shared" si="14"/>
        <v/>
      </c>
      <c r="E161" s="159"/>
      <c r="F161" s="148" t="str">
        <f t="shared" si="16"/>
        <v/>
      </c>
      <c r="G161" s="156"/>
      <c r="H161" s="156"/>
      <c r="I161" s="156"/>
      <c r="J161" s="174"/>
      <c r="K161" s="173"/>
      <c r="L161" s="173"/>
      <c r="M161" s="174"/>
      <c r="N161" s="174"/>
      <c r="P161" s="144" t="str">
        <f t="shared" si="17"/>
        <v/>
      </c>
      <c r="Q161" s="144" t="str">
        <f t="shared" si="18"/>
        <v/>
      </c>
      <c r="AA161" s="144" t="s">
        <v>777</v>
      </c>
      <c r="AB161" s="144" t="s">
        <v>778</v>
      </c>
    </row>
    <row r="162" spans="1:28">
      <c r="A162" s="153"/>
      <c r="B162" s="148" t="str">
        <f t="shared" si="15"/>
        <v/>
      </c>
      <c r="C162" s="153"/>
      <c r="D162" s="148" t="str">
        <f t="shared" si="14"/>
        <v/>
      </c>
      <c r="E162" s="159"/>
      <c r="F162" s="148" t="str">
        <f t="shared" si="16"/>
        <v/>
      </c>
      <c r="G162" s="156"/>
      <c r="H162" s="156"/>
      <c r="I162" s="156"/>
      <c r="J162" s="174"/>
      <c r="K162" s="173"/>
      <c r="L162" s="173"/>
      <c r="M162" s="174"/>
      <c r="N162" s="174"/>
      <c r="P162" s="144" t="str">
        <f t="shared" si="17"/>
        <v/>
      </c>
      <c r="Q162" s="144" t="str">
        <f t="shared" si="18"/>
        <v/>
      </c>
      <c r="AA162" s="144" t="s">
        <v>779</v>
      </c>
      <c r="AB162" s="144" t="s">
        <v>780</v>
      </c>
    </row>
    <row r="163" spans="1:28">
      <c r="A163" s="153"/>
      <c r="B163" s="148" t="str">
        <f t="shared" si="15"/>
        <v/>
      </c>
      <c r="C163" s="153"/>
      <c r="D163" s="148" t="str">
        <f t="shared" si="14"/>
        <v/>
      </c>
      <c r="E163" s="159"/>
      <c r="F163" s="148" t="str">
        <f t="shared" si="16"/>
        <v/>
      </c>
      <c r="G163" s="156"/>
      <c r="H163" s="156"/>
      <c r="I163" s="156"/>
      <c r="J163" s="174"/>
      <c r="K163" s="173"/>
      <c r="L163" s="173"/>
      <c r="M163" s="174"/>
      <c r="N163" s="174"/>
      <c r="P163" s="144" t="str">
        <f t="shared" si="17"/>
        <v/>
      </c>
      <c r="Q163" s="144" t="str">
        <f t="shared" si="18"/>
        <v/>
      </c>
      <c r="AA163" s="144" t="s">
        <v>781</v>
      </c>
      <c r="AB163" s="144" t="s">
        <v>782</v>
      </c>
    </row>
    <row r="164" spans="1:28">
      <c r="A164" s="153"/>
      <c r="B164" s="148" t="str">
        <f t="shared" si="15"/>
        <v/>
      </c>
      <c r="C164" s="153"/>
      <c r="D164" s="148" t="str">
        <f t="shared" si="14"/>
        <v/>
      </c>
      <c r="E164" s="159"/>
      <c r="F164" s="148" t="str">
        <f t="shared" si="16"/>
        <v/>
      </c>
      <c r="G164" s="156"/>
      <c r="H164" s="156"/>
      <c r="I164" s="156"/>
      <c r="J164" s="174"/>
      <c r="K164" s="173"/>
      <c r="L164" s="173"/>
      <c r="M164" s="174"/>
      <c r="N164" s="174"/>
      <c r="P164" s="144" t="str">
        <f t="shared" si="17"/>
        <v/>
      </c>
      <c r="Q164" s="144" t="str">
        <f t="shared" si="18"/>
        <v/>
      </c>
      <c r="AA164" s="144" t="s">
        <v>783</v>
      </c>
      <c r="AB164" s="144" t="s">
        <v>784</v>
      </c>
    </row>
    <row r="165" spans="1:28">
      <c r="A165" s="153"/>
      <c r="B165" s="148" t="str">
        <f t="shared" si="15"/>
        <v/>
      </c>
      <c r="C165" s="153"/>
      <c r="D165" s="148" t="str">
        <f t="shared" si="14"/>
        <v/>
      </c>
      <c r="E165" s="159"/>
      <c r="F165" s="148" t="str">
        <f t="shared" si="16"/>
        <v/>
      </c>
      <c r="G165" s="156"/>
      <c r="H165" s="156"/>
      <c r="I165" s="156"/>
      <c r="J165" s="174"/>
      <c r="K165" s="173"/>
      <c r="L165" s="173"/>
      <c r="M165" s="174"/>
      <c r="N165" s="174"/>
      <c r="P165" s="144" t="str">
        <f t="shared" si="17"/>
        <v/>
      </c>
      <c r="Q165" s="144" t="str">
        <f t="shared" si="18"/>
        <v/>
      </c>
      <c r="AA165" s="144" t="s">
        <v>785</v>
      </c>
      <c r="AB165" s="144" t="s">
        <v>786</v>
      </c>
    </row>
    <row r="166" spans="1:28">
      <c r="A166" s="153"/>
      <c r="B166" s="148" t="str">
        <f t="shared" si="15"/>
        <v/>
      </c>
      <c r="C166" s="153"/>
      <c r="D166" s="148" t="str">
        <f t="shared" si="14"/>
        <v/>
      </c>
      <c r="E166" s="159"/>
      <c r="F166" s="148" t="str">
        <f t="shared" si="16"/>
        <v/>
      </c>
      <c r="G166" s="156"/>
      <c r="H166" s="156"/>
      <c r="I166" s="156"/>
      <c r="J166" s="174"/>
      <c r="K166" s="173"/>
      <c r="L166" s="173"/>
      <c r="M166" s="174"/>
      <c r="N166" s="174"/>
      <c r="P166" s="144" t="str">
        <f t="shared" si="17"/>
        <v/>
      </c>
      <c r="Q166" s="144" t="str">
        <f t="shared" si="18"/>
        <v/>
      </c>
      <c r="AA166" s="144" t="s">
        <v>787</v>
      </c>
      <c r="AB166" s="144" t="s">
        <v>788</v>
      </c>
    </row>
    <row r="167" spans="1:28">
      <c r="A167" s="153"/>
      <c r="B167" s="148" t="str">
        <f t="shared" si="15"/>
        <v/>
      </c>
      <c r="C167" s="153"/>
      <c r="D167" s="148" t="str">
        <f t="shared" si="14"/>
        <v/>
      </c>
      <c r="E167" s="159"/>
      <c r="F167" s="148" t="str">
        <f t="shared" si="16"/>
        <v/>
      </c>
      <c r="G167" s="156"/>
      <c r="H167" s="156"/>
      <c r="I167" s="156"/>
      <c r="J167" s="174"/>
      <c r="K167" s="173"/>
      <c r="L167" s="173"/>
      <c r="M167" s="174"/>
      <c r="N167" s="174"/>
      <c r="P167" s="144" t="str">
        <f t="shared" si="17"/>
        <v/>
      </c>
      <c r="Q167" s="144" t="str">
        <f t="shared" si="18"/>
        <v/>
      </c>
      <c r="AA167" s="144" t="s">
        <v>789</v>
      </c>
      <c r="AB167" s="144" t="s">
        <v>790</v>
      </c>
    </row>
    <row r="168" spans="1:28">
      <c r="A168" s="153"/>
      <c r="B168" s="148" t="str">
        <f t="shared" si="15"/>
        <v/>
      </c>
      <c r="C168" s="153"/>
      <c r="D168" s="148" t="str">
        <f t="shared" si="14"/>
        <v/>
      </c>
      <c r="E168" s="159"/>
      <c r="F168" s="148" t="str">
        <f t="shared" si="16"/>
        <v/>
      </c>
      <c r="G168" s="156"/>
      <c r="H168" s="156"/>
      <c r="I168" s="156"/>
      <c r="J168" s="174"/>
      <c r="K168" s="173"/>
      <c r="L168" s="173"/>
      <c r="M168" s="174"/>
      <c r="N168" s="174"/>
      <c r="P168" s="144" t="str">
        <f t="shared" si="17"/>
        <v/>
      </c>
      <c r="Q168" s="144" t="str">
        <f t="shared" si="18"/>
        <v/>
      </c>
      <c r="AA168" s="144" t="s">
        <v>791</v>
      </c>
      <c r="AB168" s="144" t="s">
        <v>792</v>
      </c>
    </row>
    <row r="169" spans="1:28">
      <c r="A169" s="153"/>
      <c r="B169" s="148" t="str">
        <f t="shared" si="15"/>
        <v/>
      </c>
      <c r="C169" s="153"/>
      <c r="D169" s="148" t="str">
        <f t="shared" si="14"/>
        <v/>
      </c>
      <c r="E169" s="159"/>
      <c r="F169" s="148" t="str">
        <f t="shared" si="16"/>
        <v/>
      </c>
      <c r="G169" s="156"/>
      <c r="H169" s="156"/>
      <c r="I169" s="156"/>
      <c r="J169" s="174"/>
      <c r="K169" s="173"/>
      <c r="L169" s="173"/>
      <c r="M169" s="174"/>
      <c r="N169" s="174"/>
      <c r="P169" s="144" t="str">
        <f t="shared" si="17"/>
        <v/>
      </c>
      <c r="Q169" s="144" t="str">
        <f t="shared" si="18"/>
        <v/>
      </c>
      <c r="AA169" s="144" t="s">
        <v>793</v>
      </c>
      <c r="AB169" s="144" t="s">
        <v>794</v>
      </c>
    </row>
    <row r="170" spans="1:28">
      <c r="A170" s="153"/>
      <c r="B170" s="148" t="str">
        <f t="shared" si="15"/>
        <v/>
      </c>
      <c r="C170" s="153"/>
      <c r="D170" s="148" t="str">
        <f t="shared" si="14"/>
        <v/>
      </c>
      <c r="E170" s="159"/>
      <c r="F170" s="148" t="str">
        <f t="shared" si="16"/>
        <v/>
      </c>
      <c r="G170" s="156"/>
      <c r="H170" s="156"/>
      <c r="I170" s="156"/>
      <c r="J170" s="174"/>
      <c r="K170" s="173"/>
      <c r="L170" s="173"/>
      <c r="M170" s="174"/>
      <c r="N170" s="174"/>
      <c r="P170" s="144" t="str">
        <f t="shared" si="17"/>
        <v/>
      </c>
      <c r="Q170" s="144" t="str">
        <f t="shared" si="18"/>
        <v/>
      </c>
      <c r="AA170" s="144" t="s">
        <v>795</v>
      </c>
      <c r="AB170" s="144" t="s">
        <v>796</v>
      </c>
    </row>
    <row r="171" spans="1:28">
      <c r="A171" s="153"/>
      <c r="B171" s="148" t="str">
        <f t="shared" si="15"/>
        <v/>
      </c>
      <c r="C171" s="153"/>
      <c r="D171" s="148" t="str">
        <f t="shared" si="14"/>
        <v/>
      </c>
      <c r="E171" s="159"/>
      <c r="F171" s="148" t="str">
        <f t="shared" si="16"/>
        <v/>
      </c>
      <c r="G171" s="156"/>
      <c r="H171" s="156"/>
      <c r="I171" s="156"/>
      <c r="J171" s="174"/>
      <c r="K171" s="173"/>
      <c r="L171" s="173"/>
      <c r="M171" s="174"/>
      <c r="N171" s="174"/>
      <c r="P171" s="144" t="str">
        <f t="shared" si="17"/>
        <v/>
      </c>
      <c r="Q171" s="144" t="str">
        <f t="shared" si="18"/>
        <v/>
      </c>
      <c r="AA171" s="144" t="s">
        <v>797</v>
      </c>
      <c r="AB171" s="144" t="s">
        <v>798</v>
      </c>
    </row>
    <row r="172" spans="1:28">
      <c r="A172" s="153"/>
      <c r="B172" s="148" t="str">
        <f t="shared" si="15"/>
        <v/>
      </c>
      <c r="C172" s="153"/>
      <c r="D172" s="148" t="str">
        <f t="shared" si="14"/>
        <v/>
      </c>
      <c r="E172" s="159"/>
      <c r="F172" s="148" t="str">
        <f t="shared" si="16"/>
        <v/>
      </c>
      <c r="G172" s="156"/>
      <c r="H172" s="156"/>
      <c r="I172" s="156"/>
      <c r="J172" s="174"/>
      <c r="K172" s="173"/>
      <c r="L172" s="173"/>
      <c r="M172" s="174"/>
      <c r="N172" s="174"/>
      <c r="P172" s="144" t="str">
        <f t="shared" si="17"/>
        <v/>
      </c>
      <c r="Q172" s="144" t="str">
        <f t="shared" si="18"/>
        <v/>
      </c>
      <c r="AA172" s="144" t="s">
        <v>799</v>
      </c>
      <c r="AB172" s="144" t="s">
        <v>800</v>
      </c>
    </row>
    <row r="173" spans="1:28">
      <c r="A173" s="153"/>
      <c r="B173" s="148" t="str">
        <f t="shared" si="15"/>
        <v/>
      </c>
      <c r="C173" s="153"/>
      <c r="D173" s="148" t="str">
        <f t="shared" si="14"/>
        <v/>
      </c>
      <c r="E173" s="159"/>
      <c r="F173" s="148" t="str">
        <f t="shared" si="16"/>
        <v/>
      </c>
      <c r="G173" s="156"/>
      <c r="H173" s="156"/>
      <c r="I173" s="156"/>
      <c r="J173" s="174"/>
      <c r="K173" s="173"/>
      <c r="L173" s="173"/>
      <c r="M173" s="174"/>
      <c r="N173" s="174"/>
      <c r="P173" s="144" t="str">
        <f t="shared" si="17"/>
        <v/>
      </c>
      <c r="Q173" s="144" t="str">
        <f t="shared" si="18"/>
        <v/>
      </c>
      <c r="AA173" s="144" t="s">
        <v>801</v>
      </c>
      <c r="AB173" s="144" t="s">
        <v>802</v>
      </c>
    </row>
    <row r="174" spans="1:28">
      <c r="A174" s="153"/>
      <c r="B174" s="148" t="str">
        <f t="shared" si="15"/>
        <v/>
      </c>
      <c r="C174" s="153"/>
      <c r="D174" s="148" t="str">
        <f t="shared" si="14"/>
        <v/>
      </c>
      <c r="E174" s="159"/>
      <c r="F174" s="148" t="str">
        <f t="shared" si="16"/>
        <v/>
      </c>
      <c r="G174" s="156"/>
      <c r="H174" s="156"/>
      <c r="I174" s="156"/>
      <c r="J174" s="174"/>
      <c r="K174" s="173"/>
      <c r="L174" s="173"/>
      <c r="M174" s="174"/>
      <c r="N174" s="174"/>
      <c r="P174" s="144" t="str">
        <f t="shared" si="17"/>
        <v/>
      </c>
      <c r="Q174" s="144" t="str">
        <f t="shared" si="18"/>
        <v/>
      </c>
      <c r="AA174" s="144" t="s">
        <v>803</v>
      </c>
      <c r="AB174" s="144" t="s">
        <v>804</v>
      </c>
    </row>
    <row r="175" spans="1:28">
      <c r="A175" s="153"/>
      <c r="B175" s="148" t="str">
        <f t="shared" si="15"/>
        <v/>
      </c>
      <c r="C175" s="153"/>
      <c r="D175" s="148" t="str">
        <f t="shared" si="14"/>
        <v/>
      </c>
      <c r="E175" s="159"/>
      <c r="F175" s="148" t="str">
        <f t="shared" si="16"/>
        <v/>
      </c>
      <c r="G175" s="156"/>
      <c r="H175" s="156"/>
      <c r="I175" s="156"/>
      <c r="J175" s="174"/>
      <c r="K175" s="173"/>
      <c r="L175" s="173"/>
      <c r="M175" s="174"/>
      <c r="N175" s="174"/>
      <c r="P175" s="144" t="str">
        <f t="shared" si="17"/>
        <v/>
      </c>
      <c r="Q175" s="144" t="str">
        <f t="shared" si="18"/>
        <v/>
      </c>
      <c r="AA175" s="144" t="s">
        <v>805</v>
      </c>
      <c r="AB175" s="144" t="s">
        <v>806</v>
      </c>
    </row>
    <row r="176" spans="1:28">
      <c r="A176" s="153"/>
      <c r="B176" s="148" t="str">
        <f t="shared" si="15"/>
        <v/>
      </c>
      <c r="C176" s="153"/>
      <c r="D176" s="148" t="str">
        <f t="shared" si="14"/>
        <v/>
      </c>
      <c r="E176" s="159"/>
      <c r="F176" s="148" t="str">
        <f t="shared" si="16"/>
        <v/>
      </c>
      <c r="G176" s="156"/>
      <c r="H176" s="156"/>
      <c r="I176" s="156"/>
      <c r="J176" s="174"/>
      <c r="K176" s="173"/>
      <c r="L176" s="173"/>
      <c r="M176" s="174"/>
      <c r="N176" s="174"/>
      <c r="P176" s="144" t="str">
        <f t="shared" si="17"/>
        <v/>
      </c>
      <c r="Q176" s="144" t="str">
        <f t="shared" si="18"/>
        <v/>
      </c>
      <c r="AA176" s="144" t="s">
        <v>807</v>
      </c>
      <c r="AB176" s="144" t="s">
        <v>808</v>
      </c>
    </row>
    <row r="177" spans="1:28">
      <c r="A177" s="153"/>
      <c r="B177" s="148" t="str">
        <f t="shared" si="15"/>
        <v/>
      </c>
      <c r="C177" s="153"/>
      <c r="D177" s="148" t="str">
        <f t="shared" si="14"/>
        <v/>
      </c>
      <c r="E177" s="159"/>
      <c r="F177" s="148" t="str">
        <f t="shared" si="16"/>
        <v/>
      </c>
      <c r="G177" s="156"/>
      <c r="H177" s="156"/>
      <c r="I177" s="156"/>
      <c r="J177" s="174"/>
      <c r="K177" s="173"/>
      <c r="L177" s="173"/>
      <c r="M177" s="174"/>
      <c r="N177" s="174"/>
      <c r="P177" s="144" t="str">
        <f t="shared" si="17"/>
        <v/>
      </c>
      <c r="Q177" s="144" t="str">
        <f t="shared" si="18"/>
        <v/>
      </c>
      <c r="AA177" s="144" t="s">
        <v>809</v>
      </c>
      <c r="AB177" s="144" t="s">
        <v>810</v>
      </c>
    </row>
    <row r="178" spans="1:28">
      <c r="A178" s="153"/>
      <c r="B178" s="148" t="str">
        <f t="shared" si="15"/>
        <v/>
      </c>
      <c r="C178" s="153"/>
      <c r="D178" s="148" t="str">
        <f t="shared" si="14"/>
        <v/>
      </c>
      <c r="E178" s="159"/>
      <c r="F178" s="148" t="str">
        <f t="shared" si="16"/>
        <v/>
      </c>
      <c r="G178" s="156"/>
      <c r="H178" s="156"/>
      <c r="I178" s="156"/>
      <c r="J178" s="174"/>
      <c r="K178" s="173"/>
      <c r="L178" s="173"/>
      <c r="M178" s="174"/>
      <c r="N178" s="174"/>
      <c r="P178" s="144" t="str">
        <f t="shared" si="17"/>
        <v/>
      </c>
      <c r="Q178" s="144" t="str">
        <f t="shared" si="18"/>
        <v/>
      </c>
      <c r="AA178" s="144" t="s">
        <v>811</v>
      </c>
      <c r="AB178" s="144" t="s">
        <v>812</v>
      </c>
    </row>
    <row r="179" spans="1:28">
      <c r="A179" s="153"/>
      <c r="B179" s="148" t="str">
        <f t="shared" si="15"/>
        <v/>
      </c>
      <c r="C179" s="153"/>
      <c r="D179" s="148" t="str">
        <f t="shared" si="14"/>
        <v/>
      </c>
      <c r="E179" s="159"/>
      <c r="F179" s="148" t="str">
        <f t="shared" si="16"/>
        <v/>
      </c>
      <c r="G179" s="156"/>
      <c r="H179" s="156"/>
      <c r="I179" s="156"/>
      <c r="J179" s="174"/>
      <c r="K179" s="173"/>
      <c r="L179" s="173"/>
      <c r="M179" s="174"/>
      <c r="N179" s="174"/>
      <c r="P179" s="144" t="str">
        <f t="shared" si="17"/>
        <v/>
      </c>
      <c r="Q179" s="144" t="str">
        <f t="shared" si="18"/>
        <v/>
      </c>
      <c r="AA179" s="144" t="s">
        <v>813</v>
      </c>
      <c r="AB179" s="144" t="s">
        <v>814</v>
      </c>
    </row>
    <row r="180" spans="1:28">
      <c r="A180" s="153"/>
      <c r="B180" s="148" t="str">
        <f t="shared" si="15"/>
        <v/>
      </c>
      <c r="C180" s="153"/>
      <c r="D180" s="148" t="str">
        <f t="shared" si="14"/>
        <v/>
      </c>
      <c r="E180" s="159"/>
      <c r="F180" s="148" t="str">
        <f t="shared" si="16"/>
        <v/>
      </c>
      <c r="G180" s="156"/>
      <c r="H180" s="156"/>
      <c r="I180" s="156"/>
      <c r="J180" s="174"/>
      <c r="K180" s="173"/>
      <c r="L180" s="173"/>
      <c r="M180" s="174"/>
      <c r="N180" s="174"/>
      <c r="P180" s="144" t="str">
        <f t="shared" si="17"/>
        <v/>
      </c>
      <c r="Q180" s="144" t="str">
        <f t="shared" si="18"/>
        <v/>
      </c>
      <c r="AA180" s="144" t="s">
        <v>815</v>
      </c>
      <c r="AB180" s="144" t="s">
        <v>816</v>
      </c>
    </row>
    <row r="181" spans="1:28">
      <c r="A181" s="153"/>
      <c r="B181" s="148" t="str">
        <f t="shared" si="15"/>
        <v/>
      </c>
      <c r="C181" s="153"/>
      <c r="D181" s="148" t="str">
        <f t="shared" si="14"/>
        <v/>
      </c>
      <c r="E181" s="159"/>
      <c r="F181" s="148" t="str">
        <f t="shared" si="16"/>
        <v/>
      </c>
      <c r="G181" s="156"/>
      <c r="H181" s="156"/>
      <c r="I181" s="156"/>
      <c r="J181" s="174"/>
      <c r="K181" s="173"/>
      <c r="L181" s="173"/>
      <c r="M181" s="174"/>
      <c r="N181" s="174"/>
      <c r="P181" s="144" t="str">
        <f t="shared" si="17"/>
        <v/>
      </c>
      <c r="Q181" s="144" t="str">
        <f t="shared" si="18"/>
        <v/>
      </c>
      <c r="AA181" s="144" t="s">
        <v>817</v>
      </c>
      <c r="AB181" s="144" t="s">
        <v>818</v>
      </c>
    </row>
    <row r="182" spans="1:28">
      <c r="A182" s="153"/>
      <c r="B182" s="148" t="str">
        <f t="shared" si="15"/>
        <v/>
      </c>
      <c r="C182" s="153"/>
      <c r="D182" s="148" t="str">
        <f t="shared" si="14"/>
        <v/>
      </c>
      <c r="E182" s="159"/>
      <c r="F182" s="148" t="str">
        <f t="shared" si="16"/>
        <v/>
      </c>
      <c r="G182" s="156"/>
      <c r="H182" s="156"/>
      <c r="I182" s="156"/>
      <c r="J182" s="174"/>
      <c r="K182" s="173"/>
      <c r="L182" s="173"/>
      <c r="M182" s="174"/>
      <c r="N182" s="174"/>
      <c r="P182" s="144" t="str">
        <f t="shared" si="17"/>
        <v/>
      </c>
      <c r="Q182" s="144" t="str">
        <f t="shared" si="18"/>
        <v/>
      </c>
      <c r="AA182" s="144" t="s">
        <v>819</v>
      </c>
      <c r="AB182" s="144" t="s">
        <v>820</v>
      </c>
    </row>
    <row r="183" spans="1:28">
      <c r="A183" s="153"/>
      <c r="B183" s="148" t="str">
        <f t="shared" si="15"/>
        <v/>
      </c>
      <c r="C183" s="153"/>
      <c r="D183" s="148" t="str">
        <f t="shared" si="14"/>
        <v/>
      </c>
      <c r="E183" s="159"/>
      <c r="F183" s="148" t="str">
        <f t="shared" si="16"/>
        <v/>
      </c>
      <c r="G183" s="156"/>
      <c r="H183" s="156"/>
      <c r="I183" s="156"/>
      <c r="J183" s="174"/>
      <c r="K183" s="173"/>
      <c r="L183" s="173"/>
      <c r="M183" s="174"/>
      <c r="N183" s="174"/>
      <c r="P183" s="144" t="str">
        <f t="shared" si="17"/>
        <v/>
      </c>
      <c r="Q183" s="144" t="str">
        <f t="shared" si="18"/>
        <v/>
      </c>
      <c r="AA183" s="144" t="s">
        <v>821</v>
      </c>
      <c r="AB183" s="144" t="s">
        <v>822</v>
      </c>
    </row>
    <row r="184" spans="1:28">
      <c r="A184" s="153"/>
      <c r="B184" s="148" t="str">
        <f t="shared" si="15"/>
        <v/>
      </c>
      <c r="C184" s="153"/>
      <c r="D184" s="148" t="str">
        <f t="shared" si="14"/>
        <v/>
      </c>
      <c r="E184" s="159"/>
      <c r="F184" s="148" t="str">
        <f t="shared" si="16"/>
        <v/>
      </c>
      <c r="G184" s="156"/>
      <c r="H184" s="156"/>
      <c r="I184" s="156"/>
      <c r="J184" s="174"/>
      <c r="K184" s="173"/>
      <c r="L184" s="173"/>
      <c r="M184" s="174"/>
      <c r="N184" s="174"/>
      <c r="P184" s="144" t="str">
        <f t="shared" si="17"/>
        <v/>
      </c>
      <c r="Q184" s="144" t="str">
        <f t="shared" si="18"/>
        <v/>
      </c>
      <c r="AA184" s="144" t="s">
        <v>823</v>
      </c>
      <c r="AB184" s="144" t="s">
        <v>824</v>
      </c>
    </row>
    <row r="185" spans="1:28">
      <c r="A185" s="153"/>
      <c r="B185" s="148" t="str">
        <f t="shared" si="15"/>
        <v/>
      </c>
      <c r="C185" s="153"/>
      <c r="D185" s="148" t="str">
        <f t="shared" si="14"/>
        <v/>
      </c>
      <c r="E185" s="159"/>
      <c r="F185" s="148" t="str">
        <f t="shared" si="16"/>
        <v/>
      </c>
      <c r="G185" s="156"/>
      <c r="H185" s="156"/>
      <c r="I185" s="156"/>
      <c r="J185" s="174"/>
      <c r="K185" s="173"/>
      <c r="L185" s="173"/>
      <c r="M185" s="174"/>
      <c r="N185" s="174"/>
      <c r="P185" s="144" t="str">
        <f t="shared" si="17"/>
        <v/>
      </c>
      <c r="Q185" s="144" t="str">
        <f t="shared" si="18"/>
        <v/>
      </c>
      <c r="AA185" s="144" t="s">
        <v>825</v>
      </c>
      <c r="AB185" s="144" t="s">
        <v>826</v>
      </c>
    </row>
    <row r="186" spans="1:28">
      <c r="A186" s="153"/>
      <c r="B186" s="148" t="str">
        <f t="shared" si="15"/>
        <v/>
      </c>
      <c r="C186" s="153"/>
      <c r="D186" s="148" t="str">
        <f t="shared" si="14"/>
        <v/>
      </c>
      <c r="E186" s="159"/>
      <c r="F186" s="148" t="str">
        <f t="shared" si="16"/>
        <v/>
      </c>
      <c r="G186" s="156"/>
      <c r="H186" s="156"/>
      <c r="I186" s="156"/>
      <c r="J186" s="174"/>
      <c r="K186" s="173"/>
      <c r="L186" s="173"/>
      <c r="M186" s="174"/>
      <c r="N186" s="174"/>
      <c r="P186" s="144" t="str">
        <f t="shared" si="17"/>
        <v/>
      </c>
      <c r="Q186" s="144" t="str">
        <f t="shared" si="18"/>
        <v/>
      </c>
      <c r="AA186" s="144" t="s">
        <v>827</v>
      </c>
      <c r="AB186" s="144" t="s">
        <v>828</v>
      </c>
    </row>
    <row r="187" spans="1:28">
      <c r="A187" s="153"/>
      <c r="B187" s="148" t="str">
        <f t="shared" si="15"/>
        <v/>
      </c>
      <c r="C187" s="153"/>
      <c r="D187" s="148" t="str">
        <f t="shared" si="14"/>
        <v/>
      </c>
      <c r="E187" s="159"/>
      <c r="F187" s="148" t="str">
        <f t="shared" si="16"/>
        <v/>
      </c>
      <c r="G187" s="156"/>
      <c r="H187" s="156"/>
      <c r="I187" s="156"/>
      <c r="J187" s="174"/>
      <c r="K187" s="173"/>
      <c r="L187" s="173"/>
      <c r="M187" s="174"/>
      <c r="N187" s="174"/>
      <c r="P187" s="144" t="str">
        <f t="shared" si="17"/>
        <v/>
      </c>
      <c r="Q187" s="144" t="str">
        <f t="shared" si="18"/>
        <v/>
      </c>
      <c r="AA187" s="144" t="s">
        <v>829</v>
      </c>
      <c r="AB187" s="144" t="s">
        <v>830</v>
      </c>
    </row>
    <row r="188" spans="1:28">
      <c r="A188" s="153"/>
      <c r="B188" s="148" t="str">
        <f t="shared" si="15"/>
        <v/>
      </c>
      <c r="C188" s="153"/>
      <c r="D188" s="148" t="str">
        <f t="shared" si="14"/>
        <v/>
      </c>
      <c r="E188" s="159"/>
      <c r="F188" s="148" t="str">
        <f t="shared" si="16"/>
        <v/>
      </c>
      <c r="G188" s="156"/>
      <c r="H188" s="156"/>
      <c r="I188" s="156"/>
      <c r="J188" s="174"/>
      <c r="K188" s="173"/>
      <c r="L188" s="173"/>
      <c r="M188" s="174"/>
      <c r="N188" s="174"/>
      <c r="P188" s="144" t="str">
        <f t="shared" si="17"/>
        <v/>
      </c>
      <c r="Q188" s="144" t="str">
        <f t="shared" si="18"/>
        <v/>
      </c>
      <c r="AA188" s="144" t="s">
        <v>831</v>
      </c>
      <c r="AB188" s="144" t="s">
        <v>832</v>
      </c>
    </row>
    <row r="189" spans="1:28">
      <c r="A189" s="153"/>
      <c r="B189" s="148" t="str">
        <f t="shared" si="15"/>
        <v/>
      </c>
      <c r="C189" s="153"/>
      <c r="D189" s="148" t="str">
        <f t="shared" si="14"/>
        <v/>
      </c>
      <c r="E189" s="159"/>
      <c r="F189" s="148" t="str">
        <f t="shared" si="16"/>
        <v/>
      </c>
      <c r="G189" s="156"/>
      <c r="H189" s="156"/>
      <c r="I189" s="156"/>
      <c r="J189" s="174"/>
      <c r="K189" s="173"/>
      <c r="L189" s="173"/>
      <c r="M189" s="174"/>
      <c r="N189" s="174"/>
      <c r="P189" s="144" t="str">
        <f t="shared" si="17"/>
        <v/>
      </c>
      <c r="Q189" s="144" t="str">
        <f t="shared" si="18"/>
        <v/>
      </c>
      <c r="AA189" s="144" t="s">
        <v>833</v>
      </c>
      <c r="AB189" s="144" t="s">
        <v>834</v>
      </c>
    </row>
    <row r="190" spans="1:28">
      <c r="A190" s="153"/>
      <c r="B190" s="148" t="str">
        <f t="shared" si="15"/>
        <v/>
      </c>
      <c r="C190" s="153"/>
      <c r="D190" s="148" t="str">
        <f t="shared" si="14"/>
        <v/>
      </c>
      <c r="E190" s="159"/>
      <c r="F190" s="148" t="str">
        <f t="shared" si="16"/>
        <v/>
      </c>
      <c r="G190" s="156"/>
      <c r="H190" s="156"/>
      <c r="I190" s="156"/>
      <c r="J190" s="174"/>
      <c r="K190" s="173"/>
      <c r="L190" s="173"/>
      <c r="M190" s="174"/>
      <c r="N190" s="174"/>
      <c r="P190" s="144" t="str">
        <f t="shared" si="17"/>
        <v/>
      </c>
      <c r="Q190" s="144" t="str">
        <f t="shared" si="18"/>
        <v/>
      </c>
      <c r="AA190" s="144" t="s">
        <v>835</v>
      </c>
      <c r="AB190" s="144" t="s">
        <v>836</v>
      </c>
    </row>
    <row r="191" spans="1:28">
      <c r="A191" s="153"/>
      <c r="B191" s="148" t="str">
        <f t="shared" si="15"/>
        <v/>
      </c>
      <c r="C191" s="153"/>
      <c r="D191" s="148" t="str">
        <f t="shared" si="14"/>
        <v/>
      </c>
      <c r="E191" s="159"/>
      <c r="F191" s="148" t="str">
        <f t="shared" si="16"/>
        <v/>
      </c>
      <c r="G191" s="156"/>
      <c r="H191" s="156"/>
      <c r="I191" s="156"/>
      <c r="J191" s="174"/>
      <c r="K191" s="173"/>
      <c r="L191" s="173"/>
      <c r="M191" s="174"/>
      <c r="N191" s="174"/>
      <c r="P191" s="144" t="str">
        <f t="shared" si="17"/>
        <v/>
      </c>
      <c r="Q191" s="144" t="str">
        <f t="shared" si="18"/>
        <v/>
      </c>
      <c r="AA191" s="144" t="s">
        <v>837</v>
      </c>
      <c r="AB191" s="144" t="s">
        <v>353</v>
      </c>
    </row>
    <row r="192" spans="1:28">
      <c r="A192" s="153"/>
      <c r="B192" s="148" t="str">
        <f t="shared" si="15"/>
        <v/>
      </c>
      <c r="C192" s="153"/>
      <c r="D192" s="148" t="str">
        <f t="shared" si="14"/>
        <v/>
      </c>
      <c r="E192" s="159"/>
      <c r="F192" s="148" t="str">
        <f t="shared" si="16"/>
        <v/>
      </c>
      <c r="G192" s="156"/>
      <c r="H192" s="156"/>
      <c r="I192" s="156"/>
      <c r="J192" s="174"/>
      <c r="K192" s="173"/>
      <c r="L192" s="173"/>
      <c r="M192" s="174"/>
      <c r="N192" s="174"/>
      <c r="P192" s="144" t="str">
        <f t="shared" si="17"/>
        <v/>
      </c>
      <c r="Q192" s="144" t="str">
        <f t="shared" si="18"/>
        <v/>
      </c>
      <c r="AA192" s="144" t="s">
        <v>838</v>
      </c>
      <c r="AB192" s="144" t="s">
        <v>354</v>
      </c>
    </row>
    <row r="193" spans="1:28">
      <c r="A193" s="153"/>
      <c r="B193" s="148" t="str">
        <f t="shared" si="15"/>
        <v/>
      </c>
      <c r="C193" s="153"/>
      <c r="D193" s="148" t="str">
        <f t="shared" si="14"/>
        <v/>
      </c>
      <c r="E193" s="159"/>
      <c r="F193" s="148" t="str">
        <f t="shared" si="16"/>
        <v/>
      </c>
      <c r="G193" s="156"/>
      <c r="H193" s="156"/>
      <c r="I193" s="156"/>
      <c r="J193" s="174"/>
      <c r="K193" s="173"/>
      <c r="L193" s="173"/>
      <c r="M193" s="174"/>
      <c r="N193" s="174"/>
      <c r="P193" s="144" t="str">
        <f t="shared" si="17"/>
        <v/>
      </c>
      <c r="Q193" s="144" t="str">
        <f t="shared" si="18"/>
        <v/>
      </c>
      <c r="AA193" s="144" t="s">
        <v>839</v>
      </c>
      <c r="AB193" s="144" t="s">
        <v>840</v>
      </c>
    </row>
    <row r="194" spans="1:28">
      <c r="A194" s="153"/>
      <c r="B194" s="148" t="str">
        <f t="shared" si="15"/>
        <v/>
      </c>
      <c r="C194" s="153"/>
      <c r="D194" s="148" t="str">
        <f t="shared" si="14"/>
        <v/>
      </c>
      <c r="E194" s="159"/>
      <c r="F194" s="148" t="str">
        <f t="shared" si="16"/>
        <v/>
      </c>
      <c r="G194" s="156"/>
      <c r="H194" s="156"/>
      <c r="I194" s="156"/>
      <c r="J194" s="174"/>
      <c r="K194" s="173"/>
      <c r="L194" s="173"/>
      <c r="M194" s="174"/>
      <c r="N194" s="174"/>
      <c r="P194" s="144" t="str">
        <f t="shared" si="17"/>
        <v/>
      </c>
      <c r="Q194" s="144" t="str">
        <f t="shared" si="18"/>
        <v/>
      </c>
      <c r="AA194" s="144" t="s">
        <v>841</v>
      </c>
      <c r="AB194" s="144" t="s">
        <v>758</v>
      </c>
    </row>
    <row r="195" spans="1:28">
      <c r="A195" s="153"/>
      <c r="B195" s="148" t="str">
        <f t="shared" si="15"/>
        <v/>
      </c>
      <c r="C195" s="153"/>
      <c r="D195" s="148" t="str">
        <f t="shared" ref="D195:D258" si="19">IFERROR(VLOOKUP(C195,$U$5:$W$129,2,FALSE),"")</f>
        <v/>
      </c>
      <c r="E195" s="159"/>
      <c r="F195" s="148" t="str">
        <f t="shared" si="16"/>
        <v/>
      </c>
      <c r="G195" s="156"/>
      <c r="H195" s="156"/>
      <c r="I195" s="156"/>
      <c r="J195" s="174"/>
      <c r="K195" s="173"/>
      <c r="L195" s="173"/>
      <c r="M195" s="174"/>
      <c r="N195" s="174"/>
      <c r="P195" s="144" t="str">
        <f t="shared" si="17"/>
        <v/>
      </c>
      <c r="Q195" s="144" t="str">
        <f t="shared" si="18"/>
        <v/>
      </c>
    </row>
    <row r="196" spans="1:28">
      <c r="A196" s="153"/>
      <c r="B196" s="148" t="str">
        <f t="shared" ref="B196:B259" si="20">IFERROR(VLOOKUP(A196,$R$6:$S$16,2,FALSE),"")</f>
        <v/>
      </c>
      <c r="C196" s="153"/>
      <c r="D196" s="148" t="str">
        <f t="shared" si="19"/>
        <v/>
      </c>
      <c r="E196" s="159"/>
      <c r="F196" s="148" t="str">
        <f t="shared" ref="F196:F259" si="21">IFERROR(VLOOKUP(E196,$AA$6:$AB$200,2,FALSE),"")</f>
        <v/>
      </c>
      <c r="G196" s="156"/>
      <c r="H196" s="156"/>
      <c r="I196" s="156"/>
      <c r="J196" s="174"/>
      <c r="K196" s="173"/>
      <c r="L196" s="173"/>
      <c r="M196" s="174"/>
      <c r="N196" s="174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3"/>
      <c r="B197" s="148" t="str">
        <f t="shared" si="20"/>
        <v/>
      </c>
      <c r="C197" s="153"/>
      <c r="D197" s="148" t="str">
        <f t="shared" si="19"/>
        <v/>
      </c>
      <c r="E197" s="159"/>
      <c r="F197" s="148" t="str">
        <f t="shared" si="21"/>
        <v/>
      </c>
      <c r="G197" s="156"/>
      <c r="H197" s="156"/>
      <c r="I197" s="156"/>
      <c r="J197" s="174"/>
      <c r="K197" s="173"/>
      <c r="L197" s="173"/>
      <c r="M197" s="174"/>
      <c r="N197" s="174"/>
      <c r="P197" s="144" t="str">
        <f t="shared" si="22"/>
        <v/>
      </c>
      <c r="Q197" s="144" t="str">
        <f t="shared" si="23"/>
        <v/>
      </c>
    </row>
    <row r="198" spans="1:28">
      <c r="A198" s="153"/>
      <c r="B198" s="148" t="str">
        <f t="shared" si="20"/>
        <v/>
      </c>
      <c r="C198" s="153"/>
      <c r="D198" s="148" t="str">
        <f t="shared" si="19"/>
        <v/>
      </c>
      <c r="E198" s="159"/>
      <c r="F198" s="148" t="str">
        <f t="shared" si="21"/>
        <v/>
      </c>
      <c r="G198" s="156"/>
      <c r="H198" s="156"/>
      <c r="I198" s="156"/>
      <c r="J198" s="174"/>
      <c r="K198" s="173"/>
      <c r="L198" s="173"/>
      <c r="M198" s="174"/>
      <c r="N198" s="174"/>
      <c r="P198" s="144" t="str">
        <f t="shared" si="22"/>
        <v/>
      </c>
      <c r="Q198" s="144" t="str">
        <f t="shared" si="23"/>
        <v/>
      </c>
    </row>
    <row r="199" spans="1:28">
      <c r="A199" s="153"/>
      <c r="B199" s="148" t="str">
        <f t="shared" si="20"/>
        <v/>
      </c>
      <c r="C199" s="153"/>
      <c r="D199" s="148" t="str">
        <f t="shared" si="19"/>
        <v/>
      </c>
      <c r="E199" s="159"/>
      <c r="F199" s="148" t="str">
        <f t="shared" si="21"/>
        <v/>
      </c>
      <c r="G199" s="156"/>
      <c r="H199" s="156"/>
      <c r="I199" s="156"/>
      <c r="J199" s="174"/>
      <c r="K199" s="173"/>
      <c r="L199" s="173"/>
      <c r="M199" s="174"/>
      <c r="N199" s="174"/>
      <c r="P199" s="144" t="str">
        <f t="shared" si="22"/>
        <v/>
      </c>
      <c r="Q199" s="144" t="str">
        <f t="shared" si="23"/>
        <v/>
      </c>
    </row>
    <row r="200" spans="1:28">
      <c r="A200" s="153"/>
      <c r="B200" s="148" t="str">
        <f t="shared" si="20"/>
        <v/>
      </c>
      <c r="C200" s="153"/>
      <c r="D200" s="148" t="str">
        <f t="shared" si="19"/>
        <v/>
      </c>
      <c r="E200" s="159"/>
      <c r="F200" s="148" t="str">
        <f t="shared" si="21"/>
        <v/>
      </c>
      <c r="G200" s="156"/>
      <c r="H200" s="156"/>
      <c r="I200" s="156"/>
      <c r="J200" s="174"/>
      <c r="K200" s="173"/>
      <c r="L200" s="173"/>
      <c r="M200" s="174"/>
      <c r="N200" s="174"/>
      <c r="P200" s="144" t="str">
        <f t="shared" si="22"/>
        <v/>
      </c>
      <c r="Q200" s="144" t="str">
        <f t="shared" si="23"/>
        <v/>
      </c>
    </row>
    <row r="201" spans="1:28">
      <c r="A201" s="153"/>
      <c r="B201" s="148" t="str">
        <f t="shared" si="20"/>
        <v/>
      </c>
      <c r="C201" s="153"/>
      <c r="D201" s="148" t="str">
        <f t="shared" si="19"/>
        <v/>
      </c>
      <c r="E201" s="159"/>
      <c r="F201" s="148" t="str">
        <f t="shared" si="21"/>
        <v/>
      </c>
      <c r="G201" s="156"/>
      <c r="H201" s="156"/>
      <c r="I201" s="156"/>
      <c r="J201" s="174"/>
      <c r="K201" s="173"/>
      <c r="L201" s="173"/>
      <c r="M201" s="174"/>
      <c r="N201" s="174"/>
      <c r="P201" s="144" t="str">
        <f t="shared" si="22"/>
        <v/>
      </c>
      <c r="Q201" s="144" t="str">
        <f t="shared" si="23"/>
        <v/>
      </c>
    </row>
    <row r="202" spans="1:28">
      <c r="A202" s="153"/>
      <c r="B202" s="148" t="str">
        <f t="shared" si="20"/>
        <v/>
      </c>
      <c r="C202" s="153"/>
      <c r="D202" s="148" t="str">
        <f t="shared" si="19"/>
        <v/>
      </c>
      <c r="E202" s="159"/>
      <c r="F202" s="148" t="str">
        <f t="shared" si="21"/>
        <v/>
      </c>
      <c r="G202" s="156"/>
      <c r="H202" s="156"/>
      <c r="I202" s="156"/>
      <c r="J202" s="174"/>
      <c r="K202" s="173"/>
      <c r="L202" s="173"/>
      <c r="M202" s="174"/>
      <c r="N202" s="174"/>
      <c r="P202" s="144" t="str">
        <f t="shared" si="22"/>
        <v/>
      </c>
      <c r="Q202" s="144" t="str">
        <f t="shared" si="23"/>
        <v/>
      </c>
    </row>
    <row r="203" spans="1:28">
      <c r="A203" s="153"/>
      <c r="B203" s="148" t="str">
        <f t="shared" si="20"/>
        <v/>
      </c>
      <c r="C203" s="153"/>
      <c r="D203" s="148" t="str">
        <f t="shared" si="19"/>
        <v/>
      </c>
      <c r="E203" s="159"/>
      <c r="F203" s="148" t="str">
        <f t="shared" si="21"/>
        <v/>
      </c>
      <c r="G203" s="156"/>
      <c r="H203" s="156"/>
      <c r="I203" s="156"/>
      <c r="J203" s="174"/>
      <c r="K203" s="173"/>
      <c r="L203" s="173"/>
      <c r="M203" s="174"/>
      <c r="N203" s="174"/>
      <c r="P203" s="144" t="str">
        <f t="shared" si="22"/>
        <v/>
      </c>
      <c r="Q203" s="144" t="str">
        <f t="shared" si="23"/>
        <v/>
      </c>
    </row>
    <row r="204" spans="1:28">
      <c r="A204" s="153"/>
      <c r="B204" s="148" t="str">
        <f t="shared" si="20"/>
        <v/>
      </c>
      <c r="C204" s="153"/>
      <c r="D204" s="148" t="str">
        <f t="shared" si="19"/>
        <v/>
      </c>
      <c r="E204" s="159"/>
      <c r="F204" s="148" t="str">
        <f t="shared" si="21"/>
        <v/>
      </c>
      <c r="G204" s="156"/>
      <c r="H204" s="156"/>
      <c r="I204" s="156"/>
      <c r="J204" s="174"/>
      <c r="K204" s="173"/>
      <c r="L204" s="173"/>
      <c r="M204" s="174"/>
      <c r="N204" s="174"/>
      <c r="P204" s="144" t="str">
        <f t="shared" si="22"/>
        <v/>
      </c>
      <c r="Q204" s="144" t="str">
        <f t="shared" si="23"/>
        <v/>
      </c>
    </row>
    <row r="205" spans="1:28">
      <c r="A205" s="153"/>
      <c r="B205" s="148" t="str">
        <f t="shared" si="20"/>
        <v/>
      </c>
      <c r="C205" s="153"/>
      <c r="D205" s="148" t="str">
        <f t="shared" si="19"/>
        <v/>
      </c>
      <c r="E205" s="159"/>
      <c r="F205" s="148" t="str">
        <f t="shared" si="21"/>
        <v/>
      </c>
      <c r="G205" s="156"/>
      <c r="H205" s="156"/>
      <c r="I205" s="156"/>
      <c r="J205" s="174"/>
      <c r="K205" s="173"/>
      <c r="L205" s="173"/>
      <c r="M205" s="174"/>
      <c r="N205" s="174"/>
      <c r="P205" s="144" t="str">
        <f t="shared" si="22"/>
        <v/>
      </c>
      <c r="Q205" s="144" t="str">
        <f t="shared" si="23"/>
        <v/>
      </c>
    </row>
    <row r="206" spans="1:28">
      <c r="A206" s="153"/>
      <c r="B206" s="148" t="str">
        <f t="shared" si="20"/>
        <v/>
      </c>
      <c r="C206" s="153"/>
      <c r="D206" s="148" t="str">
        <f t="shared" si="19"/>
        <v/>
      </c>
      <c r="E206" s="159"/>
      <c r="F206" s="148" t="str">
        <f t="shared" si="21"/>
        <v/>
      </c>
      <c r="G206" s="156"/>
      <c r="H206" s="156"/>
      <c r="I206" s="156"/>
      <c r="J206" s="174"/>
      <c r="K206" s="173"/>
      <c r="L206" s="173"/>
      <c r="M206" s="174"/>
      <c r="N206" s="174"/>
      <c r="P206" s="144" t="str">
        <f t="shared" si="22"/>
        <v/>
      </c>
      <c r="Q206" s="144" t="str">
        <f t="shared" si="23"/>
        <v/>
      </c>
    </row>
    <row r="207" spans="1:28">
      <c r="A207" s="153"/>
      <c r="B207" s="148" t="str">
        <f t="shared" si="20"/>
        <v/>
      </c>
      <c r="C207" s="153"/>
      <c r="D207" s="148" t="str">
        <f t="shared" si="19"/>
        <v/>
      </c>
      <c r="E207" s="159"/>
      <c r="F207" s="148" t="str">
        <f t="shared" si="21"/>
        <v/>
      </c>
      <c r="G207" s="156"/>
      <c r="H207" s="156"/>
      <c r="I207" s="156"/>
      <c r="J207" s="174"/>
      <c r="K207" s="173"/>
      <c r="L207" s="173"/>
      <c r="M207" s="174"/>
      <c r="N207" s="174"/>
      <c r="P207" s="144" t="str">
        <f t="shared" si="22"/>
        <v/>
      </c>
      <c r="Q207" s="144" t="str">
        <f t="shared" si="23"/>
        <v/>
      </c>
    </row>
    <row r="208" spans="1:28">
      <c r="A208" s="153"/>
      <c r="B208" s="148" t="str">
        <f t="shared" si="20"/>
        <v/>
      </c>
      <c r="C208" s="153"/>
      <c r="D208" s="148" t="str">
        <f t="shared" si="19"/>
        <v/>
      </c>
      <c r="E208" s="159"/>
      <c r="F208" s="148" t="str">
        <f t="shared" si="21"/>
        <v/>
      </c>
      <c r="G208" s="156"/>
      <c r="H208" s="156"/>
      <c r="I208" s="156"/>
      <c r="J208" s="174"/>
      <c r="K208" s="173"/>
      <c r="L208" s="173"/>
      <c r="M208" s="174"/>
      <c r="N208" s="174"/>
      <c r="P208" s="144" t="str">
        <f t="shared" si="22"/>
        <v/>
      </c>
      <c r="Q208" s="144" t="str">
        <f t="shared" si="23"/>
        <v/>
      </c>
    </row>
    <row r="209" spans="1:17">
      <c r="A209" s="153"/>
      <c r="B209" s="148" t="str">
        <f t="shared" si="20"/>
        <v/>
      </c>
      <c r="C209" s="153"/>
      <c r="D209" s="148" t="str">
        <f t="shared" si="19"/>
        <v/>
      </c>
      <c r="E209" s="159"/>
      <c r="F209" s="148" t="str">
        <f t="shared" si="21"/>
        <v/>
      </c>
      <c r="G209" s="156"/>
      <c r="H209" s="156"/>
      <c r="I209" s="156"/>
      <c r="J209" s="174"/>
      <c r="K209" s="173"/>
      <c r="L209" s="173"/>
      <c r="M209" s="174"/>
      <c r="N209" s="174"/>
      <c r="P209" s="144" t="str">
        <f t="shared" si="22"/>
        <v/>
      </c>
      <c r="Q209" s="144" t="str">
        <f t="shared" si="23"/>
        <v/>
      </c>
    </row>
    <row r="210" spans="1:17">
      <c r="A210" s="153"/>
      <c r="B210" s="148" t="str">
        <f t="shared" si="20"/>
        <v/>
      </c>
      <c r="C210" s="153"/>
      <c r="D210" s="148" t="str">
        <f t="shared" si="19"/>
        <v/>
      </c>
      <c r="E210" s="159"/>
      <c r="F210" s="148" t="str">
        <f t="shared" si="21"/>
        <v/>
      </c>
      <c r="G210" s="156"/>
      <c r="H210" s="156"/>
      <c r="I210" s="156"/>
      <c r="J210" s="174"/>
      <c r="K210" s="173"/>
      <c r="L210" s="173"/>
      <c r="M210" s="174"/>
      <c r="N210" s="174"/>
      <c r="P210" s="144" t="str">
        <f t="shared" si="22"/>
        <v/>
      </c>
      <c r="Q210" s="144" t="str">
        <f t="shared" si="23"/>
        <v/>
      </c>
    </row>
    <row r="211" spans="1:17">
      <c r="A211" s="153"/>
      <c r="B211" s="148" t="str">
        <f t="shared" si="20"/>
        <v/>
      </c>
      <c r="C211" s="153"/>
      <c r="D211" s="148" t="str">
        <f t="shared" si="19"/>
        <v/>
      </c>
      <c r="E211" s="159"/>
      <c r="F211" s="148" t="str">
        <f t="shared" si="21"/>
        <v/>
      </c>
      <c r="G211" s="156"/>
      <c r="H211" s="156"/>
      <c r="I211" s="156"/>
      <c r="J211" s="174"/>
      <c r="K211" s="173"/>
      <c r="L211" s="173"/>
      <c r="M211" s="174"/>
      <c r="N211" s="174"/>
      <c r="P211" s="144" t="str">
        <f t="shared" si="22"/>
        <v/>
      </c>
      <c r="Q211" s="144" t="str">
        <f t="shared" si="23"/>
        <v/>
      </c>
    </row>
    <row r="212" spans="1:17">
      <c r="A212" s="153"/>
      <c r="B212" s="148" t="str">
        <f t="shared" si="20"/>
        <v/>
      </c>
      <c r="C212" s="153"/>
      <c r="D212" s="148" t="str">
        <f t="shared" si="19"/>
        <v/>
      </c>
      <c r="E212" s="159"/>
      <c r="F212" s="148" t="str">
        <f t="shared" si="21"/>
        <v/>
      </c>
      <c r="G212" s="156"/>
      <c r="H212" s="156"/>
      <c r="I212" s="156"/>
      <c r="J212" s="174"/>
      <c r="K212" s="173"/>
      <c r="L212" s="173"/>
      <c r="M212" s="174"/>
      <c r="N212" s="174"/>
      <c r="P212" s="144" t="str">
        <f t="shared" si="22"/>
        <v/>
      </c>
      <c r="Q212" s="144" t="str">
        <f t="shared" si="23"/>
        <v/>
      </c>
    </row>
    <row r="213" spans="1:17">
      <c r="A213" s="153"/>
      <c r="B213" s="148" t="str">
        <f t="shared" si="20"/>
        <v/>
      </c>
      <c r="C213" s="153"/>
      <c r="D213" s="148" t="str">
        <f t="shared" si="19"/>
        <v/>
      </c>
      <c r="E213" s="159"/>
      <c r="F213" s="148" t="str">
        <f t="shared" si="21"/>
        <v/>
      </c>
      <c r="G213" s="156"/>
      <c r="H213" s="156"/>
      <c r="I213" s="156"/>
      <c r="J213" s="174"/>
      <c r="K213" s="173"/>
      <c r="L213" s="173"/>
      <c r="M213" s="174"/>
      <c r="N213" s="174"/>
      <c r="P213" s="144" t="str">
        <f t="shared" si="22"/>
        <v/>
      </c>
      <c r="Q213" s="144" t="str">
        <f t="shared" si="23"/>
        <v/>
      </c>
    </row>
    <row r="214" spans="1:17">
      <c r="A214" s="153"/>
      <c r="B214" s="148" t="str">
        <f t="shared" si="20"/>
        <v/>
      </c>
      <c r="C214" s="153"/>
      <c r="D214" s="148" t="str">
        <f t="shared" si="19"/>
        <v/>
      </c>
      <c r="E214" s="159"/>
      <c r="F214" s="148" t="str">
        <f t="shared" si="21"/>
        <v/>
      </c>
      <c r="G214" s="156"/>
      <c r="H214" s="156"/>
      <c r="I214" s="156"/>
      <c r="J214" s="174"/>
      <c r="K214" s="173"/>
      <c r="L214" s="173"/>
      <c r="M214" s="174"/>
      <c r="N214" s="174"/>
      <c r="P214" s="144" t="str">
        <f t="shared" si="22"/>
        <v/>
      </c>
      <c r="Q214" s="144" t="str">
        <f t="shared" si="23"/>
        <v/>
      </c>
    </row>
    <row r="215" spans="1:17">
      <c r="A215" s="153"/>
      <c r="B215" s="148" t="str">
        <f t="shared" si="20"/>
        <v/>
      </c>
      <c r="C215" s="153"/>
      <c r="D215" s="148" t="str">
        <f t="shared" si="19"/>
        <v/>
      </c>
      <c r="E215" s="159"/>
      <c r="F215" s="148" t="str">
        <f t="shared" si="21"/>
        <v/>
      </c>
      <c r="G215" s="156"/>
      <c r="H215" s="156"/>
      <c r="I215" s="156"/>
      <c r="J215" s="174"/>
      <c r="K215" s="173"/>
      <c r="L215" s="173"/>
      <c r="M215" s="174"/>
      <c r="N215" s="174"/>
      <c r="P215" s="144" t="str">
        <f t="shared" si="22"/>
        <v/>
      </c>
      <c r="Q215" s="144" t="str">
        <f t="shared" si="23"/>
        <v/>
      </c>
    </row>
    <row r="216" spans="1:17">
      <c r="A216" s="153"/>
      <c r="B216" s="148" t="str">
        <f t="shared" si="20"/>
        <v/>
      </c>
      <c r="C216" s="153"/>
      <c r="D216" s="148" t="str">
        <f t="shared" si="19"/>
        <v/>
      </c>
      <c r="E216" s="159"/>
      <c r="F216" s="148" t="str">
        <f t="shared" si="21"/>
        <v/>
      </c>
      <c r="G216" s="156"/>
      <c r="H216" s="156"/>
      <c r="I216" s="156"/>
      <c r="J216" s="174"/>
      <c r="K216" s="173"/>
      <c r="L216" s="173"/>
      <c r="M216" s="174"/>
      <c r="N216" s="174"/>
      <c r="P216" s="144" t="str">
        <f t="shared" si="22"/>
        <v/>
      </c>
      <c r="Q216" s="144" t="str">
        <f t="shared" si="23"/>
        <v/>
      </c>
    </row>
    <row r="217" spans="1:17">
      <c r="A217" s="153"/>
      <c r="B217" s="148" t="str">
        <f t="shared" si="20"/>
        <v/>
      </c>
      <c r="C217" s="153"/>
      <c r="D217" s="148" t="str">
        <f t="shared" si="19"/>
        <v/>
      </c>
      <c r="E217" s="159"/>
      <c r="F217" s="148" t="str">
        <f t="shared" si="21"/>
        <v/>
      </c>
      <c r="G217" s="156"/>
      <c r="H217" s="156"/>
      <c r="I217" s="156"/>
      <c r="J217" s="174"/>
      <c r="K217" s="173"/>
      <c r="L217" s="173"/>
      <c r="M217" s="174"/>
      <c r="N217" s="174"/>
      <c r="P217" s="144" t="str">
        <f t="shared" si="22"/>
        <v/>
      </c>
      <c r="Q217" s="144" t="str">
        <f t="shared" si="23"/>
        <v/>
      </c>
    </row>
    <row r="218" spans="1:17">
      <c r="A218" s="153"/>
      <c r="B218" s="148" t="str">
        <f t="shared" si="20"/>
        <v/>
      </c>
      <c r="C218" s="153"/>
      <c r="D218" s="148" t="str">
        <f t="shared" si="19"/>
        <v/>
      </c>
      <c r="E218" s="159"/>
      <c r="F218" s="148" t="str">
        <f t="shared" si="21"/>
        <v/>
      </c>
      <c r="G218" s="156"/>
      <c r="H218" s="156"/>
      <c r="I218" s="156"/>
      <c r="J218" s="174"/>
      <c r="K218" s="173"/>
      <c r="L218" s="173"/>
      <c r="M218" s="174"/>
      <c r="N218" s="174"/>
      <c r="P218" s="144" t="str">
        <f t="shared" si="22"/>
        <v/>
      </c>
      <c r="Q218" s="144" t="str">
        <f t="shared" si="23"/>
        <v/>
      </c>
    </row>
    <row r="219" spans="1:17">
      <c r="A219" s="153"/>
      <c r="B219" s="148" t="str">
        <f t="shared" si="20"/>
        <v/>
      </c>
      <c r="C219" s="153"/>
      <c r="D219" s="148" t="str">
        <f t="shared" si="19"/>
        <v/>
      </c>
      <c r="E219" s="159"/>
      <c r="F219" s="148" t="str">
        <f t="shared" si="21"/>
        <v/>
      </c>
      <c r="G219" s="156"/>
      <c r="H219" s="156"/>
      <c r="I219" s="156"/>
      <c r="J219" s="174"/>
      <c r="K219" s="173"/>
      <c r="L219" s="173"/>
      <c r="M219" s="174"/>
      <c r="N219" s="174"/>
      <c r="P219" s="144" t="str">
        <f t="shared" si="22"/>
        <v/>
      </c>
      <c r="Q219" s="144" t="str">
        <f t="shared" si="23"/>
        <v/>
      </c>
    </row>
    <row r="220" spans="1:17">
      <c r="A220" s="153"/>
      <c r="B220" s="148" t="str">
        <f t="shared" si="20"/>
        <v/>
      </c>
      <c r="C220" s="153"/>
      <c r="D220" s="148" t="str">
        <f t="shared" si="19"/>
        <v/>
      </c>
      <c r="E220" s="159"/>
      <c r="F220" s="148" t="str">
        <f t="shared" si="21"/>
        <v/>
      </c>
      <c r="G220" s="156"/>
      <c r="H220" s="156"/>
      <c r="I220" s="156"/>
      <c r="J220" s="174"/>
      <c r="K220" s="173"/>
      <c r="L220" s="173"/>
      <c r="M220" s="174"/>
      <c r="N220" s="174"/>
      <c r="P220" s="144" t="str">
        <f t="shared" si="22"/>
        <v/>
      </c>
      <c r="Q220" s="144" t="str">
        <f t="shared" si="23"/>
        <v/>
      </c>
    </row>
    <row r="221" spans="1:17">
      <c r="A221" s="153"/>
      <c r="B221" s="148" t="str">
        <f t="shared" si="20"/>
        <v/>
      </c>
      <c r="C221" s="153"/>
      <c r="D221" s="148" t="str">
        <f t="shared" si="19"/>
        <v/>
      </c>
      <c r="E221" s="159"/>
      <c r="F221" s="148" t="str">
        <f t="shared" si="21"/>
        <v/>
      </c>
      <c r="G221" s="156"/>
      <c r="H221" s="156"/>
      <c r="I221" s="156"/>
      <c r="J221" s="174"/>
      <c r="K221" s="173"/>
      <c r="L221" s="173"/>
      <c r="M221" s="174"/>
      <c r="N221" s="174"/>
      <c r="P221" s="144" t="str">
        <f t="shared" si="22"/>
        <v/>
      </c>
      <c r="Q221" s="144" t="str">
        <f t="shared" si="23"/>
        <v/>
      </c>
    </row>
    <row r="222" spans="1:17">
      <c r="A222" s="153"/>
      <c r="B222" s="148" t="str">
        <f t="shared" si="20"/>
        <v/>
      </c>
      <c r="C222" s="153"/>
      <c r="D222" s="148" t="str">
        <f t="shared" si="19"/>
        <v/>
      </c>
      <c r="E222" s="159"/>
      <c r="F222" s="148" t="str">
        <f t="shared" si="21"/>
        <v/>
      </c>
      <c r="G222" s="156"/>
      <c r="H222" s="156"/>
      <c r="I222" s="156"/>
      <c r="J222" s="174"/>
      <c r="K222" s="173"/>
      <c r="L222" s="173"/>
      <c r="M222" s="174"/>
      <c r="N222" s="174"/>
      <c r="P222" s="144" t="str">
        <f t="shared" si="22"/>
        <v/>
      </c>
      <c r="Q222" s="144" t="str">
        <f t="shared" si="23"/>
        <v/>
      </c>
    </row>
    <row r="223" spans="1:17">
      <c r="A223" s="153"/>
      <c r="B223" s="148" t="str">
        <f t="shared" si="20"/>
        <v/>
      </c>
      <c r="C223" s="153"/>
      <c r="D223" s="148" t="str">
        <f t="shared" si="19"/>
        <v/>
      </c>
      <c r="E223" s="159"/>
      <c r="F223" s="148" t="str">
        <f t="shared" si="21"/>
        <v/>
      </c>
      <c r="G223" s="156"/>
      <c r="H223" s="156"/>
      <c r="I223" s="156"/>
      <c r="J223" s="174"/>
      <c r="K223" s="173"/>
      <c r="L223" s="173"/>
      <c r="M223" s="174"/>
      <c r="N223" s="174"/>
      <c r="P223" s="144" t="str">
        <f t="shared" si="22"/>
        <v/>
      </c>
      <c r="Q223" s="144" t="str">
        <f t="shared" si="23"/>
        <v/>
      </c>
    </row>
    <row r="224" spans="1:17">
      <c r="A224" s="153"/>
      <c r="B224" s="148" t="str">
        <f t="shared" si="20"/>
        <v/>
      </c>
      <c r="C224" s="153"/>
      <c r="D224" s="148" t="str">
        <f t="shared" si="19"/>
        <v/>
      </c>
      <c r="E224" s="159"/>
      <c r="F224" s="148" t="str">
        <f t="shared" si="21"/>
        <v/>
      </c>
      <c r="G224" s="156"/>
      <c r="H224" s="156"/>
      <c r="I224" s="156"/>
      <c r="J224" s="174"/>
      <c r="K224" s="173"/>
      <c r="L224" s="173"/>
      <c r="M224" s="174"/>
      <c r="N224" s="174"/>
      <c r="P224" s="144" t="str">
        <f t="shared" si="22"/>
        <v/>
      </c>
      <c r="Q224" s="144" t="str">
        <f t="shared" si="23"/>
        <v/>
      </c>
    </row>
    <row r="225" spans="1:17">
      <c r="A225" s="153"/>
      <c r="B225" s="148" t="str">
        <f t="shared" si="20"/>
        <v/>
      </c>
      <c r="C225" s="153"/>
      <c r="D225" s="148" t="str">
        <f t="shared" si="19"/>
        <v/>
      </c>
      <c r="E225" s="159"/>
      <c r="F225" s="148" t="str">
        <f t="shared" si="21"/>
        <v/>
      </c>
      <c r="G225" s="156"/>
      <c r="H225" s="156"/>
      <c r="I225" s="156"/>
      <c r="J225" s="174"/>
      <c r="K225" s="173"/>
      <c r="L225" s="173"/>
      <c r="M225" s="174"/>
      <c r="N225" s="174"/>
      <c r="P225" s="144" t="str">
        <f t="shared" si="22"/>
        <v/>
      </c>
      <c r="Q225" s="144" t="str">
        <f t="shared" si="23"/>
        <v/>
      </c>
    </row>
    <row r="226" spans="1:17">
      <c r="A226" s="153"/>
      <c r="B226" s="148" t="str">
        <f t="shared" si="20"/>
        <v/>
      </c>
      <c r="C226" s="153"/>
      <c r="D226" s="148" t="str">
        <f t="shared" si="19"/>
        <v/>
      </c>
      <c r="E226" s="159"/>
      <c r="F226" s="148" t="str">
        <f t="shared" si="21"/>
        <v/>
      </c>
      <c r="G226" s="156"/>
      <c r="H226" s="156"/>
      <c r="I226" s="156"/>
      <c r="J226" s="174"/>
      <c r="K226" s="173"/>
      <c r="L226" s="173"/>
      <c r="M226" s="174"/>
      <c r="N226" s="174"/>
      <c r="P226" s="144" t="str">
        <f t="shared" si="22"/>
        <v/>
      </c>
      <c r="Q226" s="144" t="str">
        <f t="shared" si="23"/>
        <v/>
      </c>
    </row>
    <row r="227" spans="1:17">
      <c r="A227" s="153"/>
      <c r="B227" s="148" t="str">
        <f t="shared" si="20"/>
        <v/>
      </c>
      <c r="C227" s="153"/>
      <c r="D227" s="148" t="str">
        <f t="shared" si="19"/>
        <v/>
      </c>
      <c r="E227" s="159"/>
      <c r="F227" s="148" t="str">
        <f t="shared" si="21"/>
        <v/>
      </c>
      <c r="G227" s="156"/>
      <c r="H227" s="156"/>
      <c r="I227" s="156"/>
      <c r="J227" s="174"/>
      <c r="K227" s="173"/>
      <c r="L227" s="173"/>
      <c r="M227" s="174"/>
      <c r="N227" s="174"/>
      <c r="P227" s="144" t="str">
        <f t="shared" si="22"/>
        <v/>
      </c>
      <c r="Q227" s="144" t="str">
        <f t="shared" si="23"/>
        <v/>
      </c>
    </row>
    <row r="228" spans="1:17">
      <c r="A228" s="153"/>
      <c r="B228" s="148" t="str">
        <f t="shared" si="20"/>
        <v/>
      </c>
      <c r="C228" s="153"/>
      <c r="D228" s="148" t="str">
        <f t="shared" si="19"/>
        <v/>
      </c>
      <c r="E228" s="159"/>
      <c r="F228" s="148" t="str">
        <f t="shared" si="21"/>
        <v/>
      </c>
      <c r="G228" s="156"/>
      <c r="H228" s="156"/>
      <c r="I228" s="156"/>
      <c r="J228" s="174"/>
      <c r="K228" s="173"/>
      <c r="L228" s="173"/>
      <c r="M228" s="174"/>
      <c r="N228" s="174"/>
      <c r="P228" s="144" t="str">
        <f t="shared" si="22"/>
        <v/>
      </c>
      <c r="Q228" s="144" t="str">
        <f t="shared" si="23"/>
        <v/>
      </c>
    </row>
    <row r="229" spans="1:17">
      <c r="A229" s="153"/>
      <c r="B229" s="148" t="str">
        <f t="shared" si="20"/>
        <v/>
      </c>
      <c r="C229" s="153"/>
      <c r="D229" s="148" t="str">
        <f t="shared" si="19"/>
        <v/>
      </c>
      <c r="E229" s="159"/>
      <c r="F229" s="148" t="str">
        <f t="shared" si="21"/>
        <v/>
      </c>
      <c r="G229" s="156"/>
      <c r="H229" s="156"/>
      <c r="I229" s="156"/>
      <c r="J229" s="174"/>
      <c r="K229" s="173"/>
      <c r="L229" s="173"/>
      <c r="M229" s="174"/>
      <c r="N229" s="174"/>
      <c r="P229" s="144" t="str">
        <f t="shared" si="22"/>
        <v/>
      </c>
      <c r="Q229" s="144" t="str">
        <f t="shared" si="23"/>
        <v/>
      </c>
    </row>
    <row r="230" spans="1:17">
      <c r="A230" s="153"/>
      <c r="B230" s="148" t="str">
        <f t="shared" si="20"/>
        <v/>
      </c>
      <c r="C230" s="153"/>
      <c r="D230" s="148" t="str">
        <f t="shared" si="19"/>
        <v/>
      </c>
      <c r="E230" s="159"/>
      <c r="F230" s="148" t="str">
        <f t="shared" si="21"/>
        <v/>
      </c>
      <c r="G230" s="156"/>
      <c r="H230" s="156"/>
      <c r="I230" s="156"/>
      <c r="J230" s="174"/>
      <c r="K230" s="173"/>
      <c r="L230" s="173"/>
      <c r="M230" s="174"/>
      <c r="N230" s="174"/>
      <c r="P230" s="144" t="str">
        <f t="shared" si="22"/>
        <v/>
      </c>
      <c r="Q230" s="144" t="str">
        <f t="shared" si="23"/>
        <v/>
      </c>
    </row>
    <row r="231" spans="1:17">
      <c r="A231" s="153"/>
      <c r="B231" s="148" t="str">
        <f t="shared" si="20"/>
        <v/>
      </c>
      <c r="C231" s="153"/>
      <c r="D231" s="148" t="str">
        <f t="shared" si="19"/>
        <v/>
      </c>
      <c r="E231" s="159"/>
      <c r="F231" s="148" t="str">
        <f t="shared" si="21"/>
        <v/>
      </c>
      <c r="G231" s="156"/>
      <c r="H231" s="156"/>
      <c r="I231" s="156"/>
      <c r="J231" s="174"/>
      <c r="K231" s="173"/>
      <c r="L231" s="173"/>
      <c r="M231" s="174"/>
      <c r="N231" s="174"/>
      <c r="P231" s="144" t="str">
        <f t="shared" si="22"/>
        <v/>
      </c>
      <c r="Q231" s="144" t="str">
        <f t="shared" si="23"/>
        <v/>
      </c>
    </row>
    <row r="232" spans="1:17">
      <c r="A232" s="153"/>
      <c r="B232" s="148" t="str">
        <f t="shared" si="20"/>
        <v/>
      </c>
      <c r="C232" s="153"/>
      <c r="D232" s="148" t="str">
        <f t="shared" si="19"/>
        <v/>
      </c>
      <c r="E232" s="159"/>
      <c r="F232" s="148" t="str">
        <f t="shared" si="21"/>
        <v/>
      </c>
      <c r="G232" s="156"/>
      <c r="H232" s="156"/>
      <c r="I232" s="156"/>
      <c r="J232" s="174"/>
      <c r="K232" s="173"/>
      <c r="L232" s="173"/>
      <c r="M232" s="174"/>
      <c r="N232" s="174"/>
      <c r="P232" s="144" t="str">
        <f t="shared" si="22"/>
        <v/>
      </c>
      <c r="Q232" s="144" t="str">
        <f t="shared" si="23"/>
        <v/>
      </c>
    </row>
    <row r="233" spans="1:17">
      <c r="A233" s="153"/>
      <c r="B233" s="148" t="str">
        <f t="shared" si="20"/>
        <v/>
      </c>
      <c r="C233" s="153"/>
      <c r="D233" s="148" t="str">
        <f t="shared" si="19"/>
        <v/>
      </c>
      <c r="E233" s="159"/>
      <c r="F233" s="148" t="str">
        <f t="shared" si="21"/>
        <v/>
      </c>
      <c r="G233" s="156"/>
      <c r="H233" s="156"/>
      <c r="I233" s="156"/>
      <c r="J233" s="174"/>
      <c r="K233" s="173"/>
      <c r="L233" s="173"/>
      <c r="M233" s="174"/>
      <c r="N233" s="174"/>
      <c r="P233" s="144" t="str">
        <f t="shared" si="22"/>
        <v/>
      </c>
      <c r="Q233" s="144" t="str">
        <f t="shared" si="23"/>
        <v/>
      </c>
    </row>
    <row r="234" spans="1:17">
      <c r="A234" s="153"/>
      <c r="B234" s="148" t="str">
        <f t="shared" si="20"/>
        <v/>
      </c>
      <c r="C234" s="153"/>
      <c r="D234" s="148" t="str">
        <f t="shared" si="19"/>
        <v/>
      </c>
      <c r="E234" s="159"/>
      <c r="F234" s="148" t="str">
        <f t="shared" si="21"/>
        <v/>
      </c>
      <c r="G234" s="156"/>
      <c r="H234" s="156"/>
      <c r="I234" s="156"/>
      <c r="J234" s="174"/>
      <c r="K234" s="173"/>
      <c r="L234" s="173"/>
      <c r="M234" s="174"/>
      <c r="N234" s="174"/>
      <c r="P234" s="144" t="str">
        <f t="shared" si="22"/>
        <v/>
      </c>
      <c r="Q234" s="144" t="str">
        <f t="shared" si="23"/>
        <v/>
      </c>
    </row>
    <row r="235" spans="1:17">
      <c r="A235" s="153"/>
      <c r="B235" s="148" t="str">
        <f t="shared" si="20"/>
        <v/>
      </c>
      <c r="C235" s="153"/>
      <c r="D235" s="148" t="str">
        <f t="shared" si="19"/>
        <v/>
      </c>
      <c r="E235" s="159"/>
      <c r="F235" s="148" t="str">
        <f t="shared" si="21"/>
        <v/>
      </c>
      <c r="G235" s="156"/>
      <c r="H235" s="156"/>
      <c r="I235" s="156"/>
      <c r="J235" s="174"/>
      <c r="K235" s="173"/>
      <c r="L235" s="173"/>
      <c r="M235" s="174"/>
      <c r="N235" s="174"/>
      <c r="P235" s="144" t="str">
        <f t="shared" si="22"/>
        <v/>
      </c>
      <c r="Q235" s="144" t="str">
        <f t="shared" si="23"/>
        <v/>
      </c>
    </row>
    <row r="236" spans="1:17">
      <c r="A236" s="153"/>
      <c r="B236" s="148" t="str">
        <f t="shared" si="20"/>
        <v/>
      </c>
      <c r="C236" s="153"/>
      <c r="D236" s="148" t="str">
        <f t="shared" si="19"/>
        <v/>
      </c>
      <c r="E236" s="159"/>
      <c r="F236" s="148" t="str">
        <f t="shared" si="21"/>
        <v/>
      </c>
      <c r="G236" s="156"/>
      <c r="H236" s="156"/>
      <c r="I236" s="156"/>
      <c r="J236" s="174"/>
      <c r="K236" s="173"/>
      <c r="L236" s="173"/>
      <c r="M236" s="174"/>
      <c r="N236" s="174"/>
      <c r="P236" s="144" t="str">
        <f t="shared" si="22"/>
        <v/>
      </c>
      <c r="Q236" s="144" t="str">
        <f t="shared" si="23"/>
        <v/>
      </c>
    </row>
    <row r="237" spans="1:17">
      <c r="A237" s="153"/>
      <c r="B237" s="148" t="str">
        <f t="shared" si="20"/>
        <v/>
      </c>
      <c r="C237" s="153"/>
      <c r="D237" s="148" t="str">
        <f t="shared" si="19"/>
        <v/>
      </c>
      <c r="E237" s="159"/>
      <c r="F237" s="148" t="str">
        <f t="shared" si="21"/>
        <v/>
      </c>
      <c r="G237" s="156"/>
      <c r="H237" s="156"/>
      <c r="I237" s="156"/>
      <c r="J237" s="174"/>
      <c r="K237" s="173"/>
      <c r="L237" s="173"/>
      <c r="M237" s="174"/>
      <c r="N237" s="174"/>
      <c r="P237" s="144" t="str">
        <f t="shared" si="22"/>
        <v/>
      </c>
      <c r="Q237" s="144" t="str">
        <f t="shared" si="23"/>
        <v/>
      </c>
    </row>
    <row r="238" spans="1:17">
      <c r="A238" s="153"/>
      <c r="B238" s="148" t="str">
        <f t="shared" si="20"/>
        <v/>
      </c>
      <c r="C238" s="153"/>
      <c r="D238" s="148" t="str">
        <f t="shared" si="19"/>
        <v/>
      </c>
      <c r="E238" s="159"/>
      <c r="F238" s="148" t="str">
        <f t="shared" si="21"/>
        <v/>
      </c>
      <c r="G238" s="156"/>
      <c r="H238" s="156"/>
      <c r="I238" s="156"/>
      <c r="J238" s="174"/>
      <c r="K238" s="173"/>
      <c r="L238" s="173"/>
      <c r="M238" s="174"/>
      <c r="N238" s="174"/>
      <c r="P238" s="144" t="str">
        <f t="shared" si="22"/>
        <v/>
      </c>
      <c r="Q238" s="144" t="str">
        <f t="shared" si="23"/>
        <v/>
      </c>
    </row>
    <row r="239" spans="1:17">
      <c r="A239" s="153"/>
      <c r="B239" s="148" t="str">
        <f t="shared" si="20"/>
        <v/>
      </c>
      <c r="C239" s="153"/>
      <c r="D239" s="148" t="str">
        <f t="shared" si="19"/>
        <v/>
      </c>
      <c r="E239" s="159"/>
      <c r="F239" s="148" t="str">
        <f t="shared" si="21"/>
        <v/>
      </c>
      <c r="G239" s="156"/>
      <c r="H239" s="156"/>
      <c r="I239" s="156"/>
      <c r="J239" s="174"/>
      <c r="K239" s="173"/>
      <c r="L239" s="173"/>
      <c r="M239" s="174"/>
      <c r="N239" s="174"/>
      <c r="P239" s="144" t="str">
        <f t="shared" si="22"/>
        <v/>
      </c>
      <c r="Q239" s="144" t="str">
        <f t="shared" si="23"/>
        <v/>
      </c>
    </row>
    <row r="240" spans="1:17">
      <c r="A240" s="153"/>
      <c r="B240" s="148" t="str">
        <f t="shared" si="20"/>
        <v/>
      </c>
      <c r="C240" s="153"/>
      <c r="D240" s="148" t="str">
        <f t="shared" si="19"/>
        <v/>
      </c>
      <c r="E240" s="159"/>
      <c r="F240" s="148" t="str">
        <f t="shared" si="21"/>
        <v/>
      </c>
      <c r="G240" s="156"/>
      <c r="H240" s="156"/>
      <c r="I240" s="156"/>
      <c r="J240" s="174"/>
      <c r="K240" s="173"/>
      <c r="L240" s="173"/>
      <c r="M240" s="174"/>
      <c r="N240" s="174"/>
      <c r="P240" s="144" t="str">
        <f t="shared" si="22"/>
        <v/>
      </c>
      <c r="Q240" s="144" t="str">
        <f t="shared" si="23"/>
        <v/>
      </c>
    </row>
    <row r="241" spans="1:17">
      <c r="A241" s="153"/>
      <c r="B241" s="148" t="str">
        <f t="shared" si="20"/>
        <v/>
      </c>
      <c r="C241" s="153"/>
      <c r="D241" s="148" t="str">
        <f t="shared" si="19"/>
        <v/>
      </c>
      <c r="E241" s="159"/>
      <c r="F241" s="148" t="str">
        <f t="shared" si="21"/>
        <v/>
      </c>
      <c r="G241" s="156"/>
      <c r="H241" s="156"/>
      <c r="I241" s="156"/>
      <c r="J241" s="174"/>
      <c r="K241" s="173"/>
      <c r="L241" s="173"/>
      <c r="M241" s="174"/>
      <c r="N241" s="174"/>
      <c r="P241" s="144" t="str">
        <f t="shared" si="22"/>
        <v/>
      </c>
      <c r="Q241" s="144" t="str">
        <f t="shared" si="23"/>
        <v/>
      </c>
    </row>
    <row r="242" spans="1:17">
      <c r="A242" s="153"/>
      <c r="B242" s="148" t="str">
        <f t="shared" si="20"/>
        <v/>
      </c>
      <c r="C242" s="153"/>
      <c r="D242" s="148" t="str">
        <f t="shared" si="19"/>
        <v/>
      </c>
      <c r="E242" s="159"/>
      <c r="F242" s="148" t="str">
        <f t="shared" si="21"/>
        <v/>
      </c>
      <c r="G242" s="156"/>
      <c r="H242" s="156"/>
      <c r="I242" s="156"/>
      <c r="J242" s="174"/>
      <c r="K242" s="173"/>
      <c r="L242" s="173"/>
      <c r="M242" s="174"/>
      <c r="N242" s="174"/>
      <c r="P242" s="144" t="str">
        <f t="shared" si="22"/>
        <v/>
      </c>
      <c r="Q242" s="144" t="str">
        <f t="shared" si="23"/>
        <v/>
      </c>
    </row>
    <row r="243" spans="1:17">
      <c r="A243" s="153"/>
      <c r="B243" s="148" t="str">
        <f t="shared" si="20"/>
        <v/>
      </c>
      <c r="C243" s="153"/>
      <c r="D243" s="148" t="str">
        <f t="shared" si="19"/>
        <v/>
      </c>
      <c r="E243" s="159"/>
      <c r="F243" s="148" t="str">
        <f t="shared" si="21"/>
        <v/>
      </c>
      <c r="G243" s="156"/>
      <c r="H243" s="156"/>
      <c r="I243" s="156"/>
      <c r="J243" s="174"/>
      <c r="K243" s="173"/>
      <c r="L243" s="173"/>
      <c r="M243" s="174"/>
      <c r="N243" s="174"/>
      <c r="P243" s="144" t="str">
        <f t="shared" si="22"/>
        <v/>
      </c>
      <c r="Q243" s="144" t="str">
        <f t="shared" si="23"/>
        <v/>
      </c>
    </row>
    <row r="244" spans="1:17">
      <c r="A244" s="153"/>
      <c r="B244" s="148" t="str">
        <f t="shared" si="20"/>
        <v/>
      </c>
      <c r="C244" s="153"/>
      <c r="D244" s="148" t="str">
        <f t="shared" si="19"/>
        <v/>
      </c>
      <c r="E244" s="159"/>
      <c r="F244" s="148" t="str">
        <f t="shared" si="21"/>
        <v/>
      </c>
      <c r="G244" s="156"/>
      <c r="H244" s="156"/>
      <c r="I244" s="156"/>
      <c r="J244" s="174"/>
      <c r="K244" s="173"/>
      <c r="L244" s="173"/>
      <c r="M244" s="174"/>
      <c r="N244" s="174"/>
      <c r="P244" s="144" t="str">
        <f t="shared" si="22"/>
        <v/>
      </c>
      <c r="Q244" s="144" t="str">
        <f t="shared" si="23"/>
        <v/>
      </c>
    </row>
    <row r="245" spans="1:17">
      <c r="A245" s="153"/>
      <c r="B245" s="148" t="str">
        <f t="shared" si="20"/>
        <v/>
      </c>
      <c r="C245" s="153"/>
      <c r="D245" s="148" t="str">
        <f t="shared" si="19"/>
        <v/>
      </c>
      <c r="E245" s="159"/>
      <c r="F245" s="148" t="str">
        <f t="shared" si="21"/>
        <v/>
      </c>
      <c r="G245" s="156"/>
      <c r="H245" s="156"/>
      <c r="I245" s="156"/>
      <c r="J245" s="174"/>
      <c r="K245" s="173"/>
      <c r="L245" s="173"/>
      <c r="M245" s="174"/>
      <c r="N245" s="174"/>
      <c r="P245" s="144" t="str">
        <f t="shared" si="22"/>
        <v/>
      </c>
      <c r="Q245" s="144" t="str">
        <f t="shared" si="23"/>
        <v/>
      </c>
    </row>
    <row r="246" spans="1:17">
      <c r="A246" s="153"/>
      <c r="B246" s="148" t="str">
        <f t="shared" si="20"/>
        <v/>
      </c>
      <c r="C246" s="153"/>
      <c r="D246" s="148" t="str">
        <f t="shared" si="19"/>
        <v/>
      </c>
      <c r="E246" s="159"/>
      <c r="F246" s="148" t="str">
        <f t="shared" si="21"/>
        <v/>
      </c>
      <c r="G246" s="156"/>
      <c r="H246" s="156"/>
      <c r="I246" s="156"/>
      <c r="J246" s="174"/>
      <c r="K246" s="173"/>
      <c r="L246" s="173"/>
      <c r="M246" s="174"/>
      <c r="N246" s="174"/>
      <c r="P246" s="144" t="str">
        <f t="shared" si="22"/>
        <v/>
      </c>
      <c r="Q246" s="144" t="str">
        <f t="shared" si="23"/>
        <v/>
      </c>
    </row>
    <row r="247" spans="1:17">
      <c r="A247" s="153"/>
      <c r="B247" s="148" t="str">
        <f t="shared" si="20"/>
        <v/>
      </c>
      <c r="C247" s="153"/>
      <c r="D247" s="148" t="str">
        <f t="shared" si="19"/>
        <v/>
      </c>
      <c r="E247" s="159"/>
      <c r="F247" s="148" t="str">
        <f t="shared" si="21"/>
        <v/>
      </c>
      <c r="G247" s="156"/>
      <c r="H247" s="156"/>
      <c r="I247" s="156"/>
      <c r="J247" s="174"/>
      <c r="K247" s="173"/>
      <c r="L247" s="173"/>
      <c r="M247" s="174"/>
      <c r="N247" s="174"/>
      <c r="P247" s="144" t="str">
        <f t="shared" si="22"/>
        <v/>
      </c>
      <c r="Q247" s="144" t="str">
        <f t="shared" si="23"/>
        <v/>
      </c>
    </row>
    <row r="248" spans="1:17">
      <c r="A248" s="153"/>
      <c r="B248" s="148" t="str">
        <f t="shared" si="20"/>
        <v/>
      </c>
      <c r="C248" s="153"/>
      <c r="D248" s="148" t="str">
        <f t="shared" si="19"/>
        <v/>
      </c>
      <c r="E248" s="159"/>
      <c r="F248" s="148" t="str">
        <f t="shared" si="21"/>
        <v/>
      </c>
      <c r="G248" s="156"/>
      <c r="H248" s="156"/>
      <c r="I248" s="156"/>
      <c r="J248" s="174"/>
      <c r="K248" s="173"/>
      <c r="L248" s="173"/>
      <c r="M248" s="174"/>
      <c r="N248" s="174"/>
      <c r="P248" s="144" t="str">
        <f t="shared" si="22"/>
        <v/>
      </c>
      <c r="Q248" s="144" t="str">
        <f t="shared" si="23"/>
        <v/>
      </c>
    </row>
    <row r="249" spans="1:17">
      <c r="A249" s="153"/>
      <c r="B249" s="148" t="str">
        <f t="shared" si="20"/>
        <v/>
      </c>
      <c r="C249" s="153"/>
      <c r="D249" s="148" t="str">
        <f t="shared" si="19"/>
        <v/>
      </c>
      <c r="E249" s="159"/>
      <c r="F249" s="148" t="str">
        <f t="shared" si="21"/>
        <v/>
      </c>
      <c r="G249" s="156"/>
      <c r="H249" s="156"/>
      <c r="I249" s="156"/>
      <c r="J249" s="174"/>
      <c r="K249" s="173"/>
      <c r="L249" s="173"/>
      <c r="M249" s="174"/>
      <c r="N249" s="174"/>
      <c r="P249" s="144" t="str">
        <f t="shared" si="22"/>
        <v/>
      </c>
      <c r="Q249" s="144" t="str">
        <f t="shared" si="23"/>
        <v/>
      </c>
    </row>
    <row r="250" spans="1:17">
      <c r="A250" s="153"/>
      <c r="B250" s="148" t="str">
        <f t="shared" si="20"/>
        <v/>
      </c>
      <c r="C250" s="153"/>
      <c r="D250" s="148" t="str">
        <f t="shared" si="19"/>
        <v/>
      </c>
      <c r="E250" s="159"/>
      <c r="F250" s="148" t="str">
        <f t="shared" si="21"/>
        <v/>
      </c>
      <c r="G250" s="156"/>
      <c r="H250" s="156"/>
      <c r="I250" s="156"/>
      <c r="J250" s="174"/>
      <c r="K250" s="173"/>
      <c r="L250" s="173"/>
      <c r="M250" s="174"/>
      <c r="N250" s="174"/>
      <c r="P250" s="144" t="str">
        <f t="shared" si="22"/>
        <v/>
      </c>
      <c r="Q250" s="144" t="str">
        <f t="shared" si="23"/>
        <v/>
      </c>
    </row>
    <row r="251" spans="1:17">
      <c r="A251" s="153"/>
      <c r="B251" s="148" t="str">
        <f t="shared" si="20"/>
        <v/>
      </c>
      <c r="C251" s="153"/>
      <c r="D251" s="148" t="str">
        <f t="shared" si="19"/>
        <v/>
      </c>
      <c r="E251" s="159"/>
      <c r="F251" s="148" t="str">
        <f t="shared" si="21"/>
        <v/>
      </c>
      <c r="G251" s="156"/>
      <c r="H251" s="156"/>
      <c r="I251" s="156"/>
      <c r="J251" s="174"/>
      <c r="K251" s="173"/>
      <c r="L251" s="173"/>
      <c r="M251" s="174"/>
      <c r="N251" s="174"/>
      <c r="P251" s="144" t="str">
        <f t="shared" si="22"/>
        <v/>
      </c>
      <c r="Q251" s="144" t="str">
        <f t="shared" si="23"/>
        <v/>
      </c>
    </row>
    <row r="252" spans="1:17">
      <c r="A252" s="153"/>
      <c r="B252" s="148" t="str">
        <f t="shared" si="20"/>
        <v/>
      </c>
      <c r="C252" s="153"/>
      <c r="D252" s="148" t="str">
        <f t="shared" si="19"/>
        <v/>
      </c>
      <c r="E252" s="159"/>
      <c r="F252" s="148" t="str">
        <f t="shared" si="21"/>
        <v/>
      </c>
      <c r="G252" s="156"/>
      <c r="H252" s="156"/>
      <c r="I252" s="156"/>
      <c r="J252" s="174"/>
      <c r="K252" s="173"/>
      <c r="L252" s="173"/>
      <c r="M252" s="174"/>
      <c r="N252" s="174"/>
      <c r="P252" s="144" t="str">
        <f t="shared" si="22"/>
        <v/>
      </c>
      <c r="Q252" s="144" t="str">
        <f t="shared" si="23"/>
        <v/>
      </c>
    </row>
    <row r="253" spans="1:17">
      <c r="A253" s="153"/>
      <c r="B253" s="148" t="str">
        <f t="shared" si="20"/>
        <v/>
      </c>
      <c r="C253" s="153"/>
      <c r="D253" s="148" t="str">
        <f t="shared" si="19"/>
        <v/>
      </c>
      <c r="E253" s="159"/>
      <c r="F253" s="148" t="str">
        <f t="shared" si="21"/>
        <v/>
      </c>
      <c r="G253" s="156"/>
      <c r="H253" s="156"/>
      <c r="I253" s="156"/>
      <c r="J253" s="174"/>
      <c r="K253" s="173"/>
      <c r="L253" s="173"/>
      <c r="M253" s="174"/>
      <c r="N253" s="174"/>
      <c r="P253" s="144" t="str">
        <f t="shared" si="22"/>
        <v/>
      </c>
      <c r="Q253" s="144" t="str">
        <f t="shared" si="23"/>
        <v/>
      </c>
    </row>
    <row r="254" spans="1:17">
      <c r="A254" s="153"/>
      <c r="B254" s="148" t="str">
        <f t="shared" si="20"/>
        <v/>
      </c>
      <c r="C254" s="153"/>
      <c r="D254" s="148" t="str">
        <f t="shared" si="19"/>
        <v/>
      </c>
      <c r="E254" s="159"/>
      <c r="F254" s="148" t="str">
        <f t="shared" si="21"/>
        <v/>
      </c>
      <c r="G254" s="156"/>
      <c r="H254" s="156"/>
      <c r="I254" s="156"/>
      <c r="J254" s="174"/>
      <c r="K254" s="173"/>
      <c r="L254" s="173"/>
      <c r="M254" s="174"/>
      <c r="N254" s="174"/>
      <c r="P254" s="144" t="str">
        <f t="shared" si="22"/>
        <v/>
      </c>
      <c r="Q254" s="144" t="str">
        <f t="shared" si="23"/>
        <v/>
      </c>
    </row>
    <row r="255" spans="1:17">
      <c r="A255" s="153"/>
      <c r="B255" s="148" t="str">
        <f t="shared" si="20"/>
        <v/>
      </c>
      <c r="C255" s="153"/>
      <c r="D255" s="148" t="str">
        <f t="shared" si="19"/>
        <v/>
      </c>
      <c r="E255" s="159"/>
      <c r="F255" s="148" t="str">
        <f t="shared" si="21"/>
        <v/>
      </c>
      <c r="G255" s="156"/>
      <c r="H255" s="156"/>
      <c r="I255" s="156"/>
      <c r="J255" s="174"/>
      <c r="K255" s="173"/>
      <c r="L255" s="173"/>
      <c r="M255" s="174"/>
      <c r="N255" s="174"/>
      <c r="P255" s="144" t="str">
        <f t="shared" si="22"/>
        <v/>
      </c>
      <c r="Q255" s="144" t="str">
        <f t="shared" si="23"/>
        <v/>
      </c>
    </row>
    <row r="256" spans="1:17">
      <c r="A256" s="153"/>
      <c r="B256" s="148" t="str">
        <f t="shared" si="20"/>
        <v/>
      </c>
      <c r="C256" s="153"/>
      <c r="D256" s="148" t="str">
        <f t="shared" si="19"/>
        <v/>
      </c>
      <c r="E256" s="159"/>
      <c r="F256" s="148" t="str">
        <f t="shared" si="21"/>
        <v/>
      </c>
      <c r="G256" s="156"/>
      <c r="H256" s="156"/>
      <c r="I256" s="156"/>
      <c r="J256" s="174"/>
      <c r="K256" s="173"/>
      <c r="L256" s="173"/>
      <c r="M256" s="174"/>
      <c r="N256" s="174"/>
      <c r="P256" s="144" t="str">
        <f t="shared" si="22"/>
        <v/>
      </c>
      <c r="Q256" s="144" t="str">
        <f t="shared" si="23"/>
        <v/>
      </c>
    </row>
    <row r="257" spans="1:17">
      <c r="A257" s="153"/>
      <c r="B257" s="148" t="str">
        <f t="shared" si="20"/>
        <v/>
      </c>
      <c r="C257" s="153"/>
      <c r="D257" s="148" t="str">
        <f t="shared" si="19"/>
        <v/>
      </c>
      <c r="E257" s="159"/>
      <c r="F257" s="148" t="str">
        <f t="shared" si="21"/>
        <v/>
      </c>
      <c r="G257" s="156"/>
      <c r="H257" s="156"/>
      <c r="I257" s="156"/>
      <c r="J257" s="174"/>
      <c r="K257" s="173"/>
      <c r="L257" s="173"/>
      <c r="M257" s="174"/>
      <c r="N257" s="174"/>
      <c r="P257" s="144" t="str">
        <f t="shared" si="22"/>
        <v/>
      </c>
      <c r="Q257" s="144" t="str">
        <f t="shared" si="23"/>
        <v/>
      </c>
    </row>
    <row r="258" spans="1:17">
      <c r="A258" s="153"/>
      <c r="B258" s="148" t="str">
        <f t="shared" si="20"/>
        <v/>
      </c>
      <c r="C258" s="153"/>
      <c r="D258" s="148" t="str">
        <f t="shared" si="19"/>
        <v/>
      </c>
      <c r="E258" s="159"/>
      <c r="F258" s="148" t="str">
        <f t="shared" si="21"/>
        <v/>
      </c>
      <c r="G258" s="156"/>
      <c r="H258" s="156"/>
      <c r="I258" s="156"/>
      <c r="J258" s="174"/>
      <c r="K258" s="173"/>
      <c r="L258" s="173"/>
      <c r="M258" s="174"/>
      <c r="N258" s="174"/>
      <c r="P258" s="144" t="str">
        <f t="shared" si="22"/>
        <v/>
      </c>
      <c r="Q258" s="144" t="str">
        <f t="shared" si="23"/>
        <v/>
      </c>
    </row>
    <row r="259" spans="1:17">
      <c r="A259" s="153"/>
      <c r="B259" s="148" t="str">
        <f t="shared" si="20"/>
        <v/>
      </c>
      <c r="C259" s="153"/>
      <c r="D259" s="148" t="str">
        <f t="shared" ref="D259:D322" si="24">IFERROR(VLOOKUP(C259,$U$5:$W$129,2,FALSE),"")</f>
        <v/>
      </c>
      <c r="E259" s="159"/>
      <c r="F259" s="148" t="str">
        <f t="shared" si="21"/>
        <v/>
      </c>
      <c r="G259" s="156"/>
      <c r="H259" s="156"/>
      <c r="I259" s="156"/>
      <c r="J259" s="174"/>
      <c r="K259" s="173"/>
      <c r="L259" s="173"/>
      <c r="M259" s="174"/>
      <c r="N259" s="174"/>
      <c r="P259" s="144" t="str">
        <f t="shared" si="22"/>
        <v/>
      </c>
      <c r="Q259" s="144" t="str">
        <f t="shared" si="23"/>
        <v/>
      </c>
    </row>
    <row r="260" spans="1:17">
      <c r="A260" s="153"/>
      <c r="B260" s="148" t="str">
        <f t="shared" ref="B260:B323" si="25">IFERROR(VLOOKUP(A260,$R$6:$S$16,2,FALSE),"")</f>
        <v/>
      </c>
      <c r="C260" s="153"/>
      <c r="D260" s="148" t="str">
        <f t="shared" si="24"/>
        <v/>
      </c>
      <c r="E260" s="159"/>
      <c r="F260" s="148" t="str">
        <f t="shared" ref="F260:F323" si="26">IFERROR(VLOOKUP(E260,$AA$6:$AB$200,2,FALSE),"")</f>
        <v/>
      </c>
      <c r="G260" s="156"/>
      <c r="H260" s="156"/>
      <c r="I260" s="156"/>
      <c r="J260" s="174"/>
      <c r="K260" s="173"/>
      <c r="L260" s="173"/>
      <c r="M260" s="174"/>
      <c r="N260" s="174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3"/>
      <c r="B261" s="148" t="str">
        <f t="shared" si="25"/>
        <v/>
      </c>
      <c r="C261" s="153"/>
      <c r="D261" s="148" t="str">
        <f t="shared" si="24"/>
        <v/>
      </c>
      <c r="E261" s="159"/>
      <c r="F261" s="148" t="str">
        <f t="shared" si="26"/>
        <v/>
      </c>
      <c r="G261" s="156"/>
      <c r="H261" s="156"/>
      <c r="I261" s="156"/>
      <c r="J261" s="174"/>
      <c r="K261" s="173"/>
      <c r="L261" s="173"/>
      <c r="M261" s="174"/>
      <c r="N261" s="174"/>
      <c r="P261" s="144" t="str">
        <f t="shared" si="27"/>
        <v/>
      </c>
      <c r="Q261" s="144" t="str">
        <f t="shared" si="28"/>
        <v/>
      </c>
    </row>
    <row r="262" spans="1:17">
      <c r="A262" s="153"/>
      <c r="B262" s="148" t="str">
        <f t="shared" si="25"/>
        <v/>
      </c>
      <c r="C262" s="153"/>
      <c r="D262" s="148" t="str">
        <f t="shared" si="24"/>
        <v/>
      </c>
      <c r="E262" s="159"/>
      <c r="F262" s="148" t="str">
        <f t="shared" si="26"/>
        <v/>
      </c>
      <c r="G262" s="156"/>
      <c r="H262" s="156"/>
      <c r="I262" s="156"/>
      <c r="J262" s="174"/>
      <c r="K262" s="173"/>
      <c r="L262" s="173"/>
      <c r="M262" s="174"/>
      <c r="N262" s="174"/>
      <c r="P262" s="144" t="str">
        <f t="shared" si="27"/>
        <v/>
      </c>
      <c r="Q262" s="144" t="str">
        <f t="shared" si="28"/>
        <v/>
      </c>
    </row>
    <row r="263" spans="1:17">
      <c r="A263" s="153"/>
      <c r="B263" s="148" t="str">
        <f t="shared" si="25"/>
        <v/>
      </c>
      <c r="C263" s="153"/>
      <c r="D263" s="148" t="str">
        <f t="shared" si="24"/>
        <v/>
      </c>
      <c r="E263" s="159"/>
      <c r="F263" s="148" t="str">
        <f t="shared" si="26"/>
        <v/>
      </c>
      <c r="G263" s="156"/>
      <c r="H263" s="156"/>
      <c r="I263" s="156"/>
      <c r="J263" s="174"/>
      <c r="K263" s="173"/>
      <c r="L263" s="173"/>
      <c r="M263" s="174"/>
      <c r="N263" s="174"/>
      <c r="P263" s="144" t="str">
        <f t="shared" si="27"/>
        <v/>
      </c>
      <c r="Q263" s="144" t="str">
        <f t="shared" si="28"/>
        <v/>
      </c>
    </row>
    <row r="264" spans="1:17">
      <c r="A264" s="153"/>
      <c r="B264" s="148" t="str">
        <f t="shared" si="25"/>
        <v/>
      </c>
      <c r="C264" s="153"/>
      <c r="D264" s="148" t="str">
        <f t="shared" si="24"/>
        <v/>
      </c>
      <c r="E264" s="159"/>
      <c r="F264" s="148" t="str">
        <f t="shared" si="26"/>
        <v/>
      </c>
      <c r="G264" s="156"/>
      <c r="H264" s="156"/>
      <c r="I264" s="156"/>
      <c r="J264" s="174"/>
      <c r="K264" s="173"/>
      <c r="L264" s="173"/>
      <c r="M264" s="174"/>
      <c r="N264" s="174"/>
      <c r="P264" s="144" t="str">
        <f t="shared" si="27"/>
        <v/>
      </c>
      <c r="Q264" s="144" t="str">
        <f t="shared" si="28"/>
        <v/>
      </c>
    </row>
    <row r="265" spans="1:17">
      <c r="A265" s="153"/>
      <c r="B265" s="148" t="str">
        <f t="shared" si="25"/>
        <v/>
      </c>
      <c r="C265" s="153"/>
      <c r="D265" s="148" t="str">
        <f t="shared" si="24"/>
        <v/>
      </c>
      <c r="E265" s="159"/>
      <c r="F265" s="148" t="str">
        <f t="shared" si="26"/>
        <v/>
      </c>
      <c r="G265" s="156"/>
      <c r="H265" s="156"/>
      <c r="I265" s="156"/>
      <c r="J265" s="174"/>
      <c r="K265" s="173"/>
      <c r="L265" s="173"/>
      <c r="M265" s="174"/>
      <c r="N265" s="174"/>
      <c r="P265" s="144" t="str">
        <f t="shared" si="27"/>
        <v/>
      </c>
      <c r="Q265" s="144" t="str">
        <f t="shared" si="28"/>
        <v/>
      </c>
    </row>
    <row r="266" spans="1:17">
      <c r="A266" s="153"/>
      <c r="B266" s="148" t="str">
        <f t="shared" si="25"/>
        <v/>
      </c>
      <c r="C266" s="153"/>
      <c r="D266" s="148" t="str">
        <f t="shared" si="24"/>
        <v/>
      </c>
      <c r="E266" s="159"/>
      <c r="F266" s="148" t="str">
        <f t="shared" si="26"/>
        <v/>
      </c>
      <c r="G266" s="156"/>
      <c r="H266" s="156"/>
      <c r="I266" s="156"/>
      <c r="J266" s="174"/>
      <c r="K266" s="173"/>
      <c r="L266" s="173"/>
      <c r="M266" s="174"/>
      <c r="N266" s="174"/>
      <c r="P266" s="144" t="str">
        <f t="shared" si="27"/>
        <v/>
      </c>
      <c r="Q266" s="144" t="str">
        <f t="shared" si="28"/>
        <v/>
      </c>
    </row>
    <row r="267" spans="1:17">
      <c r="A267" s="153"/>
      <c r="B267" s="148" t="str">
        <f t="shared" si="25"/>
        <v/>
      </c>
      <c r="C267" s="153"/>
      <c r="D267" s="148" t="str">
        <f t="shared" si="24"/>
        <v/>
      </c>
      <c r="E267" s="159"/>
      <c r="F267" s="148" t="str">
        <f t="shared" si="26"/>
        <v/>
      </c>
      <c r="G267" s="156"/>
      <c r="H267" s="156"/>
      <c r="I267" s="156"/>
      <c r="J267" s="174"/>
      <c r="K267" s="173"/>
      <c r="L267" s="173"/>
      <c r="M267" s="174"/>
      <c r="N267" s="174"/>
      <c r="P267" s="144" t="str">
        <f t="shared" si="27"/>
        <v/>
      </c>
      <c r="Q267" s="144" t="str">
        <f t="shared" si="28"/>
        <v/>
      </c>
    </row>
    <row r="268" spans="1:17">
      <c r="A268" s="153"/>
      <c r="B268" s="148" t="str">
        <f t="shared" si="25"/>
        <v/>
      </c>
      <c r="C268" s="153"/>
      <c r="D268" s="148" t="str">
        <f t="shared" si="24"/>
        <v/>
      </c>
      <c r="E268" s="159"/>
      <c r="F268" s="148" t="str">
        <f t="shared" si="26"/>
        <v/>
      </c>
      <c r="G268" s="156"/>
      <c r="H268" s="156"/>
      <c r="I268" s="156"/>
      <c r="J268" s="174"/>
      <c r="K268" s="173"/>
      <c r="L268" s="173"/>
      <c r="M268" s="174"/>
      <c r="N268" s="174"/>
      <c r="P268" s="144" t="str">
        <f t="shared" si="27"/>
        <v/>
      </c>
      <c r="Q268" s="144" t="str">
        <f t="shared" si="28"/>
        <v/>
      </c>
    </row>
    <row r="269" spans="1:17">
      <c r="A269" s="153"/>
      <c r="B269" s="148" t="str">
        <f t="shared" si="25"/>
        <v/>
      </c>
      <c r="C269" s="153"/>
      <c r="D269" s="148" t="str">
        <f t="shared" si="24"/>
        <v/>
      </c>
      <c r="E269" s="159"/>
      <c r="F269" s="148" t="str">
        <f t="shared" si="26"/>
        <v/>
      </c>
      <c r="G269" s="156"/>
      <c r="H269" s="156"/>
      <c r="I269" s="156"/>
      <c r="J269" s="174"/>
      <c r="K269" s="173"/>
      <c r="L269" s="173"/>
      <c r="M269" s="174"/>
      <c r="N269" s="174"/>
      <c r="P269" s="144" t="str">
        <f t="shared" si="27"/>
        <v/>
      </c>
      <c r="Q269" s="144" t="str">
        <f t="shared" si="28"/>
        <v/>
      </c>
    </row>
    <row r="270" spans="1:17">
      <c r="A270" s="153"/>
      <c r="B270" s="148" t="str">
        <f t="shared" si="25"/>
        <v/>
      </c>
      <c r="C270" s="153"/>
      <c r="D270" s="148" t="str">
        <f t="shared" si="24"/>
        <v/>
      </c>
      <c r="E270" s="159"/>
      <c r="F270" s="148" t="str">
        <f t="shared" si="26"/>
        <v/>
      </c>
      <c r="G270" s="156"/>
      <c r="H270" s="156"/>
      <c r="I270" s="156"/>
      <c r="J270" s="174"/>
      <c r="K270" s="173"/>
      <c r="L270" s="173"/>
      <c r="M270" s="174"/>
      <c r="N270" s="174"/>
      <c r="P270" s="144" t="str">
        <f t="shared" si="27"/>
        <v/>
      </c>
      <c r="Q270" s="144" t="str">
        <f t="shared" si="28"/>
        <v/>
      </c>
    </row>
    <row r="271" spans="1:17">
      <c r="A271" s="153"/>
      <c r="B271" s="148" t="str">
        <f t="shared" si="25"/>
        <v/>
      </c>
      <c r="C271" s="153"/>
      <c r="D271" s="148" t="str">
        <f t="shared" si="24"/>
        <v/>
      </c>
      <c r="E271" s="159"/>
      <c r="F271" s="148" t="str">
        <f t="shared" si="26"/>
        <v/>
      </c>
      <c r="G271" s="156"/>
      <c r="H271" s="156"/>
      <c r="I271" s="156"/>
      <c r="J271" s="174"/>
      <c r="K271" s="173"/>
      <c r="L271" s="173"/>
      <c r="M271" s="174"/>
      <c r="N271" s="174"/>
      <c r="P271" s="144" t="str">
        <f t="shared" si="27"/>
        <v/>
      </c>
      <c r="Q271" s="144" t="str">
        <f t="shared" si="28"/>
        <v/>
      </c>
    </row>
    <row r="272" spans="1:17">
      <c r="A272" s="153"/>
      <c r="B272" s="148" t="str">
        <f t="shared" si="25"/>
        <v/>
      </c>
      <c r="C272" s="153"/>
      <c r="D272" s="148" t="str">
        <f t="shared" si="24"/>
        <v/>
      </c>
      <c r="E272" s="159"/>
      <c r="F272" s="148" t="str">
        <f t="shared" si="26"/>
        <v/>
      </c>
      <c r="G272" s="156"/>
      <c r="H272" s="156"/>
      <c r="I272" s="156"/>
      <c r="J272" s="174"/>
      <c r="K272" s="173"/>
      <c r="L272" s="173"/>
      <c r="M272" s="174"/>
      <c r="N272" s="174"/>
      <c r="P272" s="144" t="str">
        <f t="shared" si="27"/>
        <v/>
      </c>
      <c r="Q272" s="144" t="str">
        <f t="shared" si="28"/>
        <v/>
      </c>
    </row>
    <row r="273" spans="1:17">
      <c r="A273" s="153"/>
      <c r="B273" s="148" t="str">
        <f t="shared" si="25"/>
        <v/>
      </c>
      <c r="C273" s="153"/>
      <c r="D273" s="148" t="str">
        <f t="shared" si="24"/>
        <v/>
      </c>
      <c r="E273" s="159"/>
      <c r="F273" s="148" t="str">
        <f t="shared" si="26"/>
        <v/>
      </c>
      <c r="G273" s="156"/>
      <c r="H273" s="156"/>
      <c r="I273" s="156"/>
      <c r="J273" s="174"/>
      <c r="K273" s="173"/>
      <c r="L273" s="173"/>
      <c r="M273" s="174"/>
      <c r="N273" s="174"/>
      <c r="P273" s="144" t="str">
        <f t="shared" si="27"/>
        <v/>
      </c>
      <c r="Q273" s="144" t="str">
        <f t="shared" si="28"/>
        <v/>
      </c>
    </row>
    <row r="274" spans="1:17">
      <c r="A274" s="153"/>
      <c r="B274" s="148" t="str">
        <f t="shared" si="25"/>
        <v/>
      </c>
      <c r="C274" s="153"/>
      <c r="D274" s="148" t="str">
        <f t="shared" si="24"/>
        <v/>
      </c>
      <c r="E274" s="159"/>
      <c r="F274" s="148" t="str">
        <f t="shared" si="26"/>
        <v/>
      </c>
      <c r="G274" s="156"/>
      <c r="H274" s="156"/>
      <c r="I274" s="156"/>
      <c r="J274" s="174"/>
      <c r="K274" s="173"/>
      <c r="L274" s="173"/>
      <c r="M274" s="174"/>
      <c r="N274" s="174"/>
      <c r="P274" s="144" t="str">
        <f t="shared" si="27"/>
        <v/>
      </c>
      <c r="Q274" s="144" t="str">
        <f t="shared" si="28"/>
        <v/>
      </c>
    </row>
    <row r="275" spans="1:17">
      <c r="A275" s="153"/>
      <c r="B275" s="148" t="str">
        <f t="shared" si="25"/>
        <v/>
      </c>
      <c r="C275" s="153"/>
      <c r="D275" s="148" t="str">
        <f t="shared" si="24"/>
        <v/>
      </c>
      <c r="E275" s="159"/>
      <c r="F275" s="148" t="str">
        <f t="shared" si="26"/>
        <v/>
      </c>
      <c r="G275" s="156"/>
      <c r="H275" s="156"/>
      <c r="I275" s="156"/>
      <c r="J275" s="174"/>
      <c r="K275" s="173"/>
      <c r="L275" s="173"/>
      <c r="M275" s="174"/>
      <c r="N275" s="174"/>
      <c r="P275" s="144" t="str">
        <f t="shared" si="27"/>
        <v/>
      </c>
      <c r="Q275" s="144" t="str">
        <f t="shared" si="28"/>
        <v/>
      </c>
    </row>
    <row r="276" spans="1:17">
      <c r="A276" s="153"/>
      <c r="B276" s="148" t="str">
        <f t="shared" si="25"/>
        <v/>
      </c>
      <c r="C276" s="153"/>
      <c r="D276" s="148" t="str">
        <f t="shared" si="24"/>
        <v/>
      </c>
      <c r="E276" s="159"/>
      <c r="F276" s="148" t="str">
        <f t="shared" si="26"/>
        <v/>
      </c>
      <c r="G276" s="156"/>
      <c r="H276" s="156"/>
      <c r="I276" s="156"/>
      <c r="J276" s="174"/>
      <c r="K276" s="173"/>
      <c r="L276" s="173"/>
      <c r="M276" s="174"/>
      <c r="N276" s="174"/>
      <c r="P276" s="144" t="str">
        <f t="shared" si="27"/>
        <v/>
      </c>
      <c r="Q276" s="144" t="str">
        <f t="shared" si="28"/>
        <v/>
      </c>
    </row>
    <row r="277" spans="1:17">
      <c r="A277" s="153"/>
      <c r="B277" s="148" t="str">
        <f t="shared" si="25"/>
        <v/>
      </c>
      <c r="C277" s="153"/>
      <c r="D277" s="148" t="str">
        <f t="shared" si="24"/>
        <v/>
      </c>
      <c r="E277" s="159"/>
      <c r="F277" s="148" t="str">
        <f t="shared" si="26"/>
        <v/>
      </c>
      <c r="G277" s="156"/>
      <c r="H277" s="156"/>
      <c r="I277" s="156"/>
      <c r="J277" s="174"/>
      <c r="K277" s="173"/>
      <c r="L277" s="173"/>
      <c r="M277" s="174"/>
      <c r="N277" s="174"/>
      <c r="P277" s="144" t="str">
        <f t="shared" si="27"/>
        <v/>
      </c>
      <c r="Q277" s="144" t="str">
        <f t="shared" si="28"/>
        <v/>
      </c>
    </row>
    <row r="278" spans="1:17">
      <c r="A278" s="153"/>
      <c r="B278" s="148" t="str">
        <f t="shared" si="25"/>
        <v/>
      </c>
      <c r="C278" s="153"/>
      <c r="D278" s="148" t="str">
        <f t="shared" si="24"/>
        <v/>
      </c>
      <c r="E278" s="159"/>
      <c r="F278" s="148" t="str">
        <f t="shared" si="26"/>
        <v/>
      </c>
      <c r="G278" s="156"/>
      <c r="H278" s="156"/>
      <c r="I278" s="156"/>
      <c r="J278" s="174"/>
      <c r="K278" s="173"/>
      <c r="L278" s="173"/>
      <c r="M278" s="174"/>
      <c r="N278" s="174"/>
      <c r="P278" s="144" t="str">
        <f t="shared" si="27"/>
        <v/>
      </c>
      <c r="Q278" s="144" t="str">
        <f t="shared" si="28"/>
        <v/>
      </c>
    </row>
    <row r="279" spans="1:17">
      <c r="A279" s="153"/>
      <c r="B279" s="148" t="str">
        <f t="shared" si="25"/>
        <v/>
      </c>
      <c r="C279" s="153"/>
      <c r="D279" s="148" t="str">
        <f t="shared" si="24"/>
        <v/>
      </c>
      <c r="E279" s="159"/>
      <c r="F279" s="148" t="str">
        <f t="shared" si="26"/>
        <v/>
      </c>
      <c r="G279" s="156"/>
      <c r="H279" s="156"/>
      <c r="I279" s="156"/>
      <c r="J279" s="174"/>
      <c r="K279" s="173"/>
      <c r="L279" s="173"/>
      <c r="M279" s="174"/>
      <c r="N279" s="174"/>
      <c r="P279" s="144" t="str">
        <f t="shared" si="27"/>
        <v/>
      </c>
      <c r="Q279" s="144" t="str">
        <f t="shared" si="28"/>
        <v/>
      </c>
    </row>
    <row r="280" spans="1:17">
      <c r="A280" s="153"/>
      <c r="B280" s="148" t="str">
        <f t="shared" si="25"/>
        <v/>
      </c>
      <c r="C280" s="153"/>
      <c r="D280" s="148" t="str">
        <f t="shared" si="24"/>
        <v/>
      </c>
      <c r="E280" s="159"/>
      <c r="F280" s="148" t="str">
        <f t="shared" si="26"/>
        <v/>
      </c>
      <c r="G280" s="156"/>
      <c r="H280" s="156"/>
      <c r="I280" s="156"/>
      <c r="J280" s="174"/>
      <c r="K280" s="173"/>
      <c r="L280" s="173"/>
      <c r="M280" s="174"/>
      <c r="N280" s="174"/>
      <c r="P280" s="144" t="str">
        <f t="shared" si="27"/>
        <v/>
      </c>
      <c r="Q280" s="144" t="str">
        <f t="shared" si="28"/>
        <v/>
      </c>
    </row>
    <row r="281" spans="1:17">
      <c r="A281" s="153"/>
      <c r="B281" s="148" t="str">
        <f t="shared" si="25"/>
        <v/>
      </c>
      <c r="C281" s="153"/>
      <c r="D281" s="148" t="str">
        <f t="shared" si="24"/>
        <v/>
      </c>
      <c r="E281" s="159"/>
      <c r="F281" s="148" t="str">
        <f t="shared" si="26"/>
        <v/>
      </c>
      <c r="G281" s="156"/>
      <c r="H281" s="156"/>
      <c r="I281" s="156"/>
      <c r="J281" s="174"/>
      <c r="K281" s="173"/>
      <c r="L281" s="173"/>
      <c r="M281" s="174"/>
      <c r="N281" s="174"/>
      <c r="P281" s="144" t="str">
        <f t="shared" si="27"/>
        <v/>
      </c>
      <c r="Q281" s="144" t="str">
        <f t="shared" si="28"/>
        <v/>
      </c>
    </row>
    <row r="282" spans="1:17">
      <c r="A282" s="153"/>
      <c r="B282" s="148" t="str">
        <f t="shared" si="25"/>
        <v/>
      </c>
      <c r="C282" s="153"/>
      <c r="D282" s="148" t="str">
        <f t="shared" si="24"/>
        <v/>
      </c>
      <c r="E282" s="159"/>
      <c r="F282" s="148" t="str">
        <f t="shared" si="26"/>
        <v/>
      </c>
      <c r="G282" s="156"/>
      <c r="H282" s="156"/>
      <c r="I282" s="156"/>
      <c r="J282" s="174"/>
      <c r="K282" s="173"/>
      <c r="L282" s="173"/>
      <c r="M282" s="174"/>
      <c r="N282" s="174"/>
      <c r="P282" s="144" t="str">
        <f t="shared" si="27"/>
        <v/>
      </c>
      <c r="Q282" s="144" t="str">
        <f t="shared" si="28"/>
        <v/>
      </c>
    </row>
    <row r="283" spans="1:17">
      <c r="A283" s="153"/>
      <c r="B283" s="148" t="str">
        <f t="shared" si="25"/>
        <v/>
      </c>
      <c r="C283" s="153"/>
      <c r="D283" s="148" t="str">
        <f t="shared" si="24"/>
        <v/>
      </c>
      <c r="E283" s="159"/>
      <c r="F283" s="148" t="str">
        <f t="shared" si="26"/>
        <v/>
      </c>
      <c r="G283" s="156"/>
      <c r="H283" s="156"/>
      <c r="I283" s="156"/>
      <c r="J283" s="174"/>
      <c r="K283" s="173"/>
      <c r="L283" s="173"/>
      <c r="M283" s="174"/>
      <c r="N283" s="174"/>
      <c r="P283" s="144" t="str">
        <f t="shared" si="27"/>
        <v/>
      </c>
      <c r="Q283" s="144" t="str">
        <f t="shared" si="28"/>
        <v/>
      </c>
    </row>
    <row r="284" spans="1:17">
      <c r="A284" s="153"/>
      <c r="B284" s="148" t="str">
        <f t="shared" si="25"/>
        <v/>
      </c>
      <c r="C284" s="153"/>
      <c r="D284" s="148" t="str">
        <f t="shared" si="24"/>
        <v/>
      </c>
      <c r="E284" s="159"/>
      <c r="F284" s="148" t="str">
        <f t="shared" si="26"/>
        <v/>
      </c>
      <c r="G284" s="156"/>
      <c r="H284" s="156"/>
      <c r="I284" s="156"/>
      <c r="J284" s="174"/>
      <c r="K284" s="173"/>
      <c r="L284" s="173"/>
      <c r="M284" s="174"/>
      <c r="N284" s="174"/>
      <c r="P284" s="144" t="str">
        <f t="shared" si="27"/>
        <v/>
      </c>
      <c r="Q284" s="144" t="str">
        <f t="shared" si="28"/>
        <v/>
      </c>
    </row>
    <row r="285" spans="1:17">
      <c r="A285" s="153"/>
      <c r="B285" s="148" t="str">
        <f t="shared" si="25"/>
        <v/>
      </c>
      <c r="C285" s="153"/>
      <c r="D285" s="148" t="str">
        <f t="shared" si="24"/>
        <v/>
      </c>
      <c r="E285" s="159"/>
      <c r="F285" s="148" t="str">
        <f t="shared" si="26"/>
        <v/>
      </c>
      <c r="G285" s="156"/>
      <c r="H285" s="156"/>
      <c r="I285" s="156"/>
      <c r="J285" s="174"/>
      <c r="K285" s="173"/>
      <c r="L285" s="173"/>
      <c r="M285" s="174"/>
      <c r="N285" s="174"/>
      <c r="P285" s="144" t="str">
        <f t="shared" si="27"/>
        <v/>
      </c>
      <c r="Q285" s="144" t="str">
        <f t="shared" si="28"/>
        <v/>
      </c>
    </row>
    <row r="286" spans="1:17">
      <c r="A286" s="153"/>
      <c r="B286" s="148" t="str">
        <f t="shared" si="25"/>
        <v/>
      </c>
      <c r="C286" s="153"/>
      <c r="D286" s="148" t="str">
        <f t="shared" si="24"/>
        <v/>
      </c>
      <c r="E286" s="159"/>
      <c r="F286" s="148" t="str">
        <f t="shared" si="26"/>
        <v/>
      </c>
      <c r="G286" s="156"/>
      <c r="H286" s="156"/>
      <c r="I286" s="156"/>
      <c r="J286" s="174"/>
      <c r="K286" s="173"/>
      <c r="L286" s="173"/>
      <c r="M286" s="174"/>
      <c r="N286" s="174"/>
      <c r="P286" s="144" t="str">
        <f t="shared" si="27"/>
        <v/>
      </c>
      <c r="Q286" s="144" t="str">
        <f t="shared" si="28"/>
        <v/>
      </c>
    </row>
    <row r="287" spans="1:17">
      <c r="A287" s="153"/>
      <c r="B287" s="148" t="str">
        <f t="shared" si="25"/>
        <v/>
      </c>
      <c r="C287" s="153"/>
      <c r="D287" s="148" t="str">
        <f t="shared" si="24"/>
        <v/>
      </c>
      <c r="E287" s="159"/>
      <c r="F287" s="148" t="str">
        <f t="shared" si="26"/>
        <v/>
      </c>
      <c r="G287" s="156"/>
      <c r="H287" s="156"/>
      <c r="I287" s="156"/>
      <c r="J287" s="174"/>
      <c r="K287" s="173"/>
      <c r="L287" s="173"/>
      <c r="M287" s="174"/>
      <c r="N287" s="174"/>
      <c r="P287" s="144" t="str">
        <f t="shared" si="27"/>
        <v/>
      </c>
      <c r="Q287" s="144" t="str">
        <f t="shared" si="28"/>
        <v/>
      </c>
    </row>
    <row r="288" spans="1:17">
      <c r="A288" s="153"/>
      <c r="B288" s="148" t="str">
        <f t="shared" si="25"/>
        <v/>
      </c>
      <c r="C288" s="153"/>
      <c r="D288" s="148" t="str">
        <f t="shared" si="24"/>
        <v/>
      </c>
      <c r="E288" s="159"/>
      <c r="F288" s="148" t="str">
        <f t="shared" si="26"/>
        <v/>
      </c>
      <c r="G288" s="156"/>
      <c r="H288" s="156"/>
      <c r="I288" s="156"/>
      <c r="J288" s="174"/>
      <c r="K288" s="173"/>
      <c r="L288" s="173"/>
      <c r="M288" s="174"/>
      <c r="N288" s="174"/>
      <c r="P288" s="144" t="str">
        <f t="shared" si="27"/>
        <v/>
      </c>
      <c r="Q288" s="144" t="str">
        <f t="shared" si="28"/>
        <v/>
      </c>
    </row>
    <row r="289" spans="1:17">
      <c r="A289" s="153"/>
      <c r="B289" s="148" t="str">
        <f t="shared" si="25"/>
        <v/>
      </c>
      <c r="C289" s="153"/>
      <c r="D289" s="148" t="str">
        <f t="shared" si="24"/>
        <v/>
      </c>
      <c r="E289" s="159"/>
      <c r="F289" s="148" t="str">
        <f t="shared" si="26"/>
        <v/>
      </c>
      <c r="G289" s="156"/>
      <c r="H289" s="156"/>
      <c r="I289" s="156"/>
      <c r="J289" s="174"/>
      <c r="K289" s="173"/>
      <c r="L289" s="173"/>
      <c r="M289" s="174"/>
      <c r="N289" s="174"/>
      <c r="P289" s="144" t="str">
        <f t="shared" si="27"/>
        <v/>
      </c>
      <c r="Q289" s="144" t="str">
        <f t="shared" si="28"/>
        <v/>
      </c>
    </row>
    <row r="290" spans="1:17">
      <c r="A290" s="153"/>
      <c r="B290" s="148" t="str">
        <f t="shared" si="25"/>
        <v/>
      </c>
      <c r="C290" s="153"/>
      <c r="D290" s="148" t="str">
        <f t="shared" si="24"/>
        <v/>
      </c>
      <c r="E290" s="159"/>
      <c r="F290" s="148" t="str">
        <f t="shared" si="26"/>
        <v/>
      </c>
      <c r="G290" s="156"/>
      <c r="H290" s="156"/>
      <c r="I290" s="156"/>
      <c r="J290" s="174"/>
      <c r="K290" s="173"/>
      <c r="L290" s="173"/>
      <c r="M290" s="174"/>
      <c r="N290" s="174"/>
      <c r="P290" s="144" t="str">
        <f t="shared" si="27"/>
        <v/>
      </c>
      <c r="Q290" s="144" t="str">
        <f t="shared" si="28"/>
        <v/>
      </c>
    </row>
    <row r="291" spans="1:17">
      <c r="A291" s="153"/>
      <c r="B291" s="148" t="str">
        <f t="shared" si="25"/>
        <v/>
      </c>
      <c r="C291" s="153"/>
      <c r="D291" s="148" t="str">
        <f t="shared" si="24"/>
        <v/>
      </c>
      <c r="E291" s="159"/>
      <c r="F291" s="148" t="str">
        <f t="shared" si="26"/>
        <v/>
      </c>
      <c r="G291" s="156"/>
      <c r="H291" s="156"/>
      <c r="I291" s="156"/>
      <c r="J291" s="174"/>
      <c r="K291" s="173"/>
      <c r="L291" s="173"/>
      <c r="M291" s="174"/>
      <c r="N291" s="174"/>
      <c r="P291" s="144" t="str">
        <f t="shared" si="27"/>
        <v/>
      </c>
      <c r="Q291" s="144" t="str">
        <f t="shared" si="28"/>
        <v/>
      </c>
    </row>
    <row r="292" spans="1:17">
      <c r="A292" s="153"/>
      <c r="B292" s="148" t="str">
        <f t="shared" si="25"/>
        <v/>
      </c>
      <c r="C292" s="153"/>
      <c r="D292" s="148" t="str">
        <f t="shared" si="24"/>
        <v/>
      </c>
      <c r="E292" s="159"/>
      <c r="F292" s="148" t="str">
        <f t="shared" si="26"/>
        <v/>
      </c>
      <c r="G292" s="156"/>
      <c r="H292" s="156"/>
      <c r="I292" s="156"/>
      <c r="J292" s="174"/>
      <c r="K292" s="173"/>
      <c r="L292" s="173"/>
      <c r="M292" s="174"/>
      <c r="N292" s="174"/>
      <c r="P292" s="144" t="str">
        <f t="shared" si="27"/>
        <v/>
      </c>
      <c r="Q292" s="144" t="str">
        <f t="shared" si="28"/>
        <v/>
      </c>
    </row>
    <row r="293" spans="1:17">
      <c r="A293" s="153"/>
      <c r="B293" s="148" t="str">
        <f t="shared" si="25"/>
        <v/>
      </c>
      <c r="C293" s="153"/>
      <c r="D293" s="148" t="str">
        <f t="shared" si="24"/>
        <v/>
      </c>
      <c r="E293" s="159"/>
      <c r="F293" s="148" t="str">
        <f t="shared" si="26"/>
        <v/>
      </c>
      <c r="G293" s="156"/>
      <c r="H293" s="156"/>
      <c r="I293" s="156"/>
      <c r="J293" s="174"/>
      <c r="K293" s="173"/>
      <c r="L293" s="173"/>
      <c r="M293" s="174"/>
      <c r="N293" s="174"/>
      <c r="P293" s="144" t="str">
        <f t="shared" si="27"/>
        <v/>
      </c>
      <c r="Q293" s="144" t="str">
        <f t="shared" si="28"/>
        <v/>
      </c>
    </row>
    <row r="294" spans="1:17">
      <c r="A294" s="153"/>
      <c r="B294" s="148" t="str">
        <f t="shared" si="25"/>
        <v/>
      </c>
      <c r="C294" s="153"/>
      <c r="D294" s="148" t="str">
        <f t="shared" si="24"/>
        <v/>
      </c>
      <c r="E294" s="159"/>
      <c r="F294" s="148" t="str">
        <f t="shared" si="26"/>
        <v/>
      </c>
      <c r="G294" s="156"/>
      <c r="H294" s="156"/>
      <c r="I294" s="156"/>
      <c r="J294" s="174"/>
      <c r="K294" s="173"/>
      <c r="L294" s="173"/>
      <c r="M294" s="174"/>
      <c r="N294" s="174"/>
      <c r="P294" s="144" t="str">
        <f t="shared" si="27"/>
        <v/>
      </c>
      <c r="Q294" s="144" t="str">
        <f t="shared" si="28"/>
        <v/>
      </c>
    </row>
    <row r="295" spans="1:17">
      <c r="A295" s="153"/>
      <c r="B295" s="148" t="str">
        <f t="shared" si="25"/>
        <v/>
      </c>
      <c r="C295" s="153"/>
      <c r="D295" s="148" t="str">
        <f t="shared" si="24"/>
        <v/>
      </c>
      <c r="E295" s="159"/>
      <c r="F295" s="148" t="str">
        <f t="shared" si="26"/>
        <v/>
      </c>
      <c r="G295" s="156"/>
      <c r="H295" s="156"/>
      <c r="I295" s="156"/>
      <c r="J295" s="174"/>
      <c r="K295" s="173"/>
      <c r="L295" s="173"/>
      <c r="M295" s="174"/>
      <c r="N295" s="174"/>
      <c r="P295" s="144" t="str">
        <f t="shared" si="27"/>
        <v/>
      </c>
      <c r="Q295" s="144" t="str">
        <f t="shared" si="28"/>
        <v/>
      </c>
    </row>
    <row r="296" spans="1:17">
      <c r="A296" s="153"/>
      <c r="B296" s="148" t="str">
        <f t="shared" si="25"/>
        <v/>
      </c>
      <c r="C296" s="153"/>
      <c r="D296" s="148" t="str">
        <f t="shared" si="24"/>
        <v/>
      </c>
      <c r="E296" s="159"/>
      <c r="F296" s="148" t="str">
        <f t="shared" si="26"/>
        <v/>
      </c>
      <c r="G296" s="156"/>
      <c r="H296" s="156"/>
      <c r="I296" s="156"/>
      <c r="J296" s="174"/>
      <c r="K296" s="173"/>
      <c r="L296" s="173"/>
      <c r="M296" s="174"/>
      <c r="N296" s="174"/>
      <c r="P296" s="144" t="str">
        <f t="shared" si="27"/>
        <v/>
      </c>
      <c r="Q296" s="144" t="str">
        <f t="shared" si="28"/>
        <v/>
      </c>
    </row>
    <row r="297" spans="1:17">
      <c r="A297" s="153"/>
      <c r="B297" s="148" t="str">
        <f t="shared" si="25"/>
        <v/>
      </c>
      <c r="C297" s="153"/>
      <c r="D297" s="148" t="str">
        <f t="shared" si="24"/>
        <v/>
      </c>
      <c r="E297" s="159"/>
      <c r="F297" s="148" t="str">
        <f t="shared" si="26"/>
        <v/>
      </c>
      <c r="G297" s="156"/>
      <c r="H297" s="156"/>
      <c r="I297" s="156"/>
      <c r="J297" s="174"/>
      <c r="K297" s="173"/>
      <c r="L297" s="173"/>
      <c r="M297" s="174"/>
      <c r="N297" s="174"/>
      <c r="P297" s="144" t="str">
        <f t="shared" si="27"/>
        <v/>
      </c>
      <c r="Q297" s="144" t="str">
        <f t="shared" si="28"/>
        <v/>
      </c>
    </row>
    <row r="298" spans="1:17">
      <c r="A298" s="153"/>
      <c r="B298" s="148" t="str">
        <f t="shared" si="25"/>
        <v/>
      </c>
      <c r="C298" s="153"/>
      <c r="D298" s="148" t="str">
        <f t="shared" si="24"/>
        <v/>
      </c>
      <c r="E298" s="159"/>
      <c r="F298" s="148" t="str">
        <f t="shared" si="26"/>
        <v/>
      </c>
      <c r="G298" s="156"/>
      <c r="H298" s="156"/>
      <c r="I298" s="156"/>
      <c r="J298" s="174"/>
      <c r="K298" s="173"/>
      <c r="L298" s="173"/>
      <c r="M298" s="174"/>
      <c r="N298" s="174"/>
      <c r="P298" s="144" t="str">
        <f t="shared" si="27"/>
        <v/>
      </c>
      <c r="Q298" s="144" t="str">
        <f t="shared" si="28"/>
        <v/>
      </c>
    </row>
    <row r="299" spans="1:17">
      <c r="A299" s="153"/>
      <c r="B299" s="148" t="str">
        <f t="shared" si="25"/>
        <v/>
      </c>
      <c r="C299" s="153"/>
      <c r="D299" s="148" t="str">
        <f t="shared" si="24"/>
        <v/>
      </c>
      <c r="E299" s="159"/>
      <c r="F299" s="148" t="str">
        <f t="shared" si="26"/>
        <v/>
      </c>
      <c r="G299" s="156"/>
      <c r="H299" s="156"/>
      <c r="I299" s="156"/>
      <c r="J299" s="174"/>
      <c r="K299" s="173"/>
      <c r="L299" s="173"/>
      <c r="M299" s="174"/>
      <c r="N299" s="174"/>
      <c r="P299" s="144" t="str">
        <f t="shared" si="27"/>
        <v/>
      </c>
      <c r="Q299" s="144" t="str">
        <f t="shared" si="28"/>
        <v/>
      </c>
    </row>
    <row r="300" spans="1:17">
      <c r="A300" s="153"/>
      <c r="B300" s="148" t="str">
        <f t="shared" si="25"/>
        <v/>
      </c>
      <c r="C300" s="153"/>
      <c r="D300" s="148" t="str">
        <f t="shared" si="24"/>
        <v/>
      </c>
      <c r="E300" s="159"/>
      <c r="F300" s="148" t="str">
        <f t="shared" si="26"/>
        <v/>
      </c>
      <c r="G300" s="156"/>
      <c r="H300" s="156"/>
      <c r="I300" s="156"/>
      <c r="J300" s="174"/>
      <c r="K300" s="173"/>
      <c r="L300" s="173"/>
      <c r="M300" s="174"/>
      <c r="N300" s="174"/>
      <c r="P300" s="144" t="str">
        <f t="shared" si="27"/>
        <v/>
      </c>
      <c r="Q300" s="144" t="str">
        <f t="shared" si="28"/>
        <v/>
      </c>
    </row>
    <row r="301" spans="1:17">
      <c r="A301" s="153"/>
      <c r="B301" s="148" t="str">
        <f t="shared" si="25"/>
        <v/>
      </c>
      <c r="C301" s="153"/>
      <c r="D301" s="148" t="str">
        <f t="shared" si="24"/>
        <v/>
      </c>
      <c r="E301" s="159"/>
      <c r="F301" s="148" t="str">
        <f t="shared" si="26"/>
        <v/>
      </c>
      <c r="G301" s="156"/>
      <c r="H301" s="156"/>
      <c r="I301" s="156"/>
      <c r="J301" s="174"/>
      <c r="K301" s="173"/>
      <c r="L301" s="173"/>
      <c r="M301" s="174"/>
      <c r="N301" s="174"/>
      <c r="P301" s="144" t="str">
        <f t="shared" si="27"/>
        <v/>
      </c>
      <c r="Q301" s="144" t="str">
        <f t="shared" si="28"/>
        <v/>
      </c>
    </row>
    <row r="302" spans="1:17">
      <c r="A302" s="153"/>
      <c r="B302" s="148" t="str">
        <f t="shared" si="25"/>
        <v/>
      </c>
      <c r="C302" s="153"/>
      <c r="D302" s="148" t="str">
        <f t="shared" si="24"/>
        <v/>
      </c>
      <c r="E302" s="159"/>
      <c r="F302" s="148" t="str">
        <f t="shared" si="26"/>
        <v/>
      </c>
      <c r="G302" s="156"/>
      <c r="H302" s="156"/>
      <c r="I302" s="156"/>
      <c r="J302" s="174"/>
      <c r="K302" s="173"/>
      <c r="L302" s="173"/>
      <c r="M302" s="174"/>
      <c r="N302" s="174"/>
      <c r="P302" s="144" t="str">
        <f t="shared" si="27"/>
        <v/>
      </c>
      <c r="Q302" s="144" t="str">
        <f t="shared" si="28"/>
        <v/>
      </c>
    </row>
    <row r="303" spans="1:17">
      <c r="A303" s="153"/>
      <c r="B303" s="148" t="str">
        <f t="shared" si="25"/>
        <v/>
      </c>
      <c r="C303" s="153"/>
      <c r="D303" s="148" t="str">
        <f t="shared" si="24"/>
        <v/>
      </c>
      <c r="E303" s="159"/>
      <c r="F303" s="148" t="str">
        <f t="shared" si="26"/>
        <v/>
      </c>
      <c r="G303" s="156"/>
      <c r="H303" s="156"/>
      <c r="I303" s="156"/>
      <c r="J303" s="174"/>
      <c r="K303" s="173"/>
      <c r="L303" s="173"/>
      <c r="M303" s="174"/>
      <c r="N303" s="174"/>
      <c r="P303" s="144" t="str">
        <f t="shared" si="27"/>
        <v/>
      </c>
      <c r="Q303" s="144" t="str">
        <f t="shared" si="28"/>
        <v/>
      </c>
    </row>
    <row r="304" spans="1:17">
      <c r="A304" s="153"/>
      <c r="B304" s="148" t="str">
        <f t="shared" si="25"/>
        <v/>
      </c>
      <c r="C304" s="153"/>
      <c r="D304" s="148" t="str">
        <f t="shared" si="24"/>
        <v/>
      </c>
      <c r="E304" s="159"/>
      <c r="F304" s="148" t="str">
        <f t="shared" si="26"/>
        <v/>
      </c>
      <c r="G304" s="156"/>
      <c r="H304" s="156"/>
      <c r="I304" s="156"/>
      <c r="J304" s="174"/>
      <c r="K304" s="173"/>
      <c r="L304" s="173"/>
      <c r="M304" s="174"/>
      <c r="N304" s="174"/>
      <c r="P304" s="144" t="str">
        <f t="shared" si="27"/>
        <v/>
      </c>
      <c r="Q304" s="144" t="str">
        <f t="shared" si="28"/>
        <v/>
      </c>
    </row>
    <row r="305" spans="1:17">
      <c r="A305" s="153"/>
      <c r="B305" s="148" t="str">
        <f t="shared" si="25"/>
        <v/>
      </c>
      <c r="C305" s="153"/>
      <c r="D305" s="148" t="str">
        <f t="shared" si="24"/>
        <v/>
      </c>
      <c r="E305" s="159"/>
      <c r="F305" s="148" t="str">
        <f t="shared" si="26"/>
        <v/>
      </c>
      <c r="G305" s="156"/>
      <c r="H305" s="156"/>
      <c r="I305" s="156"/>
      <c r="J305" s="174"/>
      <c r="K305" s="173"/>
      <c r="L305" s="173"/>
      <c r="M305" s="174"/>
      <c r="N305" s="174"/>
      <c r="P305" s="144" t="str">
        <f t="shared" si="27"/>
        <v/>
      </c>
      <c r="Q305" s="144" t="str">
        <f t="shared" si="28"/>
        <v/>
      </c>
    </row>
    <row r="306" spans="1:17">
      <c r="A306" s="153"/>
      <c r="B306" s="148" t="str">
        <f t="shared" si="25"/>
        <v/>
      </c>
      <c r="C306" s="153"/>
      <c r="D306" s="148" t="str">
        <f t="shared" si="24"/>
        <v/>
      </c>
      <c r="E306" s="159"/>
      <c r="F306" s="148" t="str">
        <f t="shared" si="26"/>
        <v/>
      </c>
      <c r="G306" s="156"/>
      <c r="H306" s="156"/>
      <c r="I306" s="156"/>
      <c r="J306" s="174"/>
      <c r="K306" s="173"/>
      <c r="L306" s="173"/>
      <c r="M306" s="174"/>
      <c r="N306" s="174"/>
      <c r="P306" s="144" t="str">
        <f t="shared" si="27"/>
        <v/>
      </c>
      <c r="Q306" s="144" t="str">
        <f t="shared" si="28"/>
        <v/>
      </c>
    </row>
    <row r="307" spans="1:17">
      <c r="A307" s="153"/>
      <c r="B307" s="148" t="str">
        <f t="shared" si="25"/>
        <v/>
      </c>
      <c r="C307" s="153"/>
      <c r="D307" s="148" t="str">
        <f t="shared" si="24"/>
        <v/>
      </c>
      <c r="E307" s="159"/>
      <c r="F307" s="148" t="str">
        <f t="shared" si="26"/>
        <v/>
      </c>
      <c r="G307" s="156"/>
      <c r="H307" s="156"/>
      <c r="I307" s="156"/>
      <c r="J307" s="174"/>
      <c r="K307" s="173"/>
      <c r="L307" s="173"/>
      <c r="M307" s="174"/>
      <c r="N307" s="174"/>
      <c r="P307" s="144" t="str">
        <f t="shared" si="27"/>
        <v/>
      </c>
      <c r="Q307" s="144" t="str">
        <f t="shared" si="28"/>
        <v/>
      </c>
    </row>
    <row r="308" spans="1:17">
      <c r="A308" s="153"/>
      <c r="B308" s="148" t="str">
        <f t="shared" si="25"/>
        <v/>
      </c>
      <c r="C308" s="153"/>
      <c r="D308" s="148" t="str">
        <f t="shared" si="24"/>
        <v/>
      </c>
      <c r="E308" s="159"/>
      <c r="F308" s="148" t="str">
        <f t="shared" si="26"/>
        <v/>
      </c>
      <c r="G308" s="156"/>
      <c r="H308" s="156"/>
      <c r="I308" s="156"/>
      <c r="J308" s="174"/>
      <c r="K308" s="173"/>
      <c r="L308" s="173"/>
      <c r="M308" s="174"/>
      <c r="N308" s="174"/>
      <c r="P308" s="144" t="str">
        <f t="shared" si="27"/>
        <v/>
      </c>
      <c r="Q308" s="144" t="str">
        <f t="shared" si="28"/>
        <v/>
      </c>
    </row>
    <row r="309" spans="1:17">
      <c r="A309" s="153"/>
      <c r="B309" s="148" t="str">
        <f t="shared" si="25"/>
        <v/>
      </c>
      <c r="C309" s="153"/>
      <c r="D309" s="148" t="str">
        <f t="shared" si="24"/>
        <v/>
      </c>
      <c r="E309" s="159"/>
      <c r="F309" s="148" t="str">
        <f t="shared" si="26"/>
        <v/>
      </c>
      <c r="G309" s="156"/>
      <c r="H309" s="156"/>
      <c r="I309" s="156"/>
      <c r="J309" s="174"/>
      <c r="K309" s="173"/>
      <c r="L309" s="173"/>
      <c r="M309" s="174"/>
      <c r="N309" s="174"/>
      <c r="P309" s="144" t="str">
        <f t="shared" si="27"/>
        <v/>
      </c>
      <c r="Q309" s="144" t="str">
        <f t="shared" si="28"/>
        <v/>
      </c>
    </row>
    <row r="310" spans="1:17">
      <c r="A310" s="153"/>
      <c r="B310" s="148" t="str">
        <f t="shared" si="25"/>
        <v/>
      </c>
      <c r="C310" s="153"/>
      <c r="D310" s="148" t="str">
        <f t="shared" si="24"/>
        <v/>
      </c>
      <c r="E310" s="159"/>
      <c r="F310" s="148" t="str">
        <f t="shared" si="26"/>
        <v/>
      </c>
      <c r="G310" s="156"/>
      <c r="H310" s="156"/>
      <c r="I310" s="156"/>
      <c r="J310" s="174"/>
      <c r="K310" s="173"/>
      <c r="L310" s="173"/>
      <c r="M310" s="174"/>
      <c r="N310" s="174"/>
      <c r="P310" s="144" t="str">
        <f t="shared" si="27"/>
        <v/>
      </c>
      <c r="Q310" s="144" t="str">
        <f t="shared" si="28"/>
        <v/>
      </c>
    </row>
    <row r="311" spans="1:17">
      <c r="A311" s="153"/>
      <c r="B311" s="148" t="str">
        <f t="shared" si="25"/>
        <v/>
      </c>
      <c r="C311" s="153"/>
      <c r="D311" s="148" t="str">
        <f t="shared" si="24"/>
        <v/>
      </c>
      <c r="E311" s="159"/>
      <c r="F311" s="148" t="str">
        <f t="shared" si="26"/>
        <v/>
      </c>
      <c r="G311" s="156"/>
      <c r="H311" s="156"/>
      <c r="I311" s="156"/>
      <c r="J311" s="174"/>
      <c r="K311" s="173"/>
      <c r="L311" s="173"/>
      <c r="M311" s="174"/>
      <c r="N311" s="174"/>
      <c r="P311" s="144" t="str">
        <f t="shared" si="27"/>
        <v/>
      </c>
      <c r="Q311" s="144" t="str">
        <f t="shared" si="28"/>
        <v/>
      </c>
    </row>
    <row r="312" spans="1:17">
      <c r="A312" s="153"/>
      <c r="B312" s="148" t="str">
        <f t="shared" si="25"/>
        <v/>
      </c>
      <c r="C312" s="153"/>
      <c r="D312" s="148" t="str">
        <f t="shared" si="24"/>
        <v/>
      </c>
      <c r="E312" s="159"/>
      <c r="F312" s="148" t="str">
        <f t="shared" si="26"/>
        <v/>
      </c>
      <c r="G312" s="156"/>
      <c r="H312" s="156"/>
      <c r="I312" s="156"/>
      <c r="J312" s="174"/>
      <c r="K312" s="173"/>
      <c r="L312" s="173"/>
      <c r="M312" s="174"/>
      <c r="N312" s="174"/>
      <c r="P312" s="144" t="str">
        <f t="shared" si="27"/>
        <v/>
      </c>
      <c r="Q312" s="144" t="str">
        <f t="shared" si="28"/>
        <v/>
      </c>
    </row>
    <row r="313" spans="1:17">
      <c r="A313" s="153"/>
      <c r="B313" s="148" t="str">
        <f t="shared" si="25"/>
        <v/>
      </c>
      <c r="C313" s="153"/>
      <c r="D313" s="148" t="str">
        <f t="shared" si="24"/>
        <v/>
      </c>
      <c r="E313" s="159"/>
      <c r="F313" s="148" t="str">
        <f t="shared" si="26"/>
        <v/>
      </c>
      <c r="G313" s="156"/>
      <c r="H313" s="156"/>
      <c r="I313" s="156"/>
      <c r="J313" s="174"/>
      <c r="K313" s="173"/>
      <c r="L313" s="173"/>
      <c r="M313" s="174"/>
      <c r="N313" s="174"/>
      <c r="P313" s="144" t="str">
        <f t="shared" si="27"/>
        <v/>
      </c>
      <c r="Q313" s="144" t="str">
        <f t="shared" si="28"/>
        <v/>
      </c>
    </row>
    <row r="314" spans="1:17">
      <c r="A314" s="153"/>
      <c r="B314" s="148" t="str">
        <f t="shared" si="25"/>
        <v/>
      </c>
      <c r="C314" s="153"/>
      <c r="D314" s="148" t="str">
        <f t="shared" si="24"/>
        <v/>
      </c>
      <c r="E314" s="159"/>
      <c r="F314" s="148" t="str">
        <f t="shared" si="26"/>
        <v/>
      </c>
      <c r="G314" s="156"/>
      <c r="H314" s="156"/>
      <c r="I314" s="156"/>
      <c r="J314" s="174"/>
      <c r="K314" s="173"/>
      <c r="L314" s="173"/>
      <c r="M314" s="174"/>
      <c r="N314" s="174"/>
      <c r="P314" s="144" t="str">
        <f t="shared" si="27"/>
        <v/>
      </c>
      <c r="Q314" s="144" t="str">
        <f t="shared" si="28"/>
        <v/>
      </c>
    </row>
    <row r="315" spans="1:17">
      <c r="A315" s="153"/>
      <c r="B315" s="148" t="str">
        <f t="shared" si="25"/>
        <v/>
      </c>
      <c r="C315" s="153"/>
      <c r="D315" s="148" t="str">
        <f t="shared" si="24"/>
        <v/>
      </c>
      <c r="E315" s="159"/>
      <c r="F315" s="148" t="str">
        <f t="shared" si="26"/>
        <v/>
      </c>
      <c r="G315" s="156"/>
      <c r="H315" s="156"/>
      <c r="I315" s="156"/>
      <c r="J315" s="174"/>
      <c r="K315" s="173"/>
      <c r="L315" s="173"/>
      <c r="M315" s="174"/>
      <c r="N315" s="174"/>
      <c r="P315" s="144" t="str">
        <f t="shared" si="27"/>
        <v/>
      </c>
      <c r="Q315" s="144" t="str">
        <f t="shared" si="28"/>
        <v/>
      </c>
    </row>
    <row r="316" spans="1:17">
      <c r="A316" s="153"/>
      <c r="B316" s="148" t="str">
        <f t="shared" si="25"/>
        <v/>
      </c>
      <c r="C316" s="153"/>
      <c r="D316" s="148" t="str">
        <f t="shared" si="24"/>
        <v/>
      </c>
      <c r="E316" s="159"/>
      <c r="F316" s="148" t="str">
        <f t="shared" si="26"/>
        <v/>
      </c>
      <c r="G316" s="156"/>
      <c r="H316" s="156"/>
      <c r="I316" s="156"/>
      <c r="J316" s="174"/>
      <c r="K316" s="173"/>
      <c r="L316" s="173"/>
      <c r="M316" s="174"/>
      <c r="N316" s="174"/>
      <c r="P316" s="144" t="str">
        <f t="shared" si="27"/>
        <v/>
      </c>
      <c r="Q316" s="144" t="str">
        <f t="shared" si="28"/>
        <v/>
      </c>
    </row>
    <row r="317" spans="1:17">
      <c r="A317" s="153"/>
      <c r="B317" s="148" t="str">
        <f t="shared" si="25"/>
        <v/>
      </c>
      <c r="C317" s="153"/>
      <c r="D317" s="148" t="str">
        <f t="shared" si="24"/>
        <v/>
      </c>
      <c r="E317" s="159"/>
      <c r="F317" s="148" t="str">
        <f t="shared" si="26"/>
        <v/>
      </c>
      <c r="G317" s="156"/>
      <c r="H317" s="156"/>
      <c r="I317" s="156"/>
      <c r="J317" s="174"/>
      <c r="K317" s="173"/>
      <c r="L317" s="173"/>
      <c r="M317" s="174"/>
      <c r="N317" s="174"/>
      <c r="P317" s="144" t="str">
        <f t="shared" si="27"/>
        <v/>
      </c>
      <c r="Q317" s="144" t="str">
        <f t="shared" si="28"/>
        <v/>
      </c>
    </row>
    <row r="318" spans="1:17">
      <c r="A318" s="153"/>
      <c r="B318" s="148" t="str">
        <f t="shared" si="25"/>
        <v/>
      </c>
      <c r="C318" s="153"/>
      <c r="D318" s="148" t="str">
        <f t="shared" si="24"/>
        <v/>
      </c>
      <c r="E318" s="159"/>
      <c r="F318" s="148" t="str">
        <f t="shared" si="26"/>
        <v/>
      </c>
      <c r="G318" s="156"/>
      <c r="H318" s="156"/>
      <c r="I318" s="156"/>
      <c r="J318" s="174"/>
      <c r="K318" s="173"/>
      <c r="L318" s="173"/>
      <c r="M318" s="174"/>
      <c r="N318" s="174"/>
      <c r="P318" s="144" t="str">
        <f t="shared" si="27"/>
        <v/>
      </c>
      <c r="Q318" s="144" t="str">
        <f t="shared" si="28"/>
        <v/>
      </c>
    </row>
    <row r="319" spans="1:17">
      <c r="A319" s="153"/>
      <c r="B319" s="148" t="str">
        <f t="shared" si="25"/>
        <v/>
      </c>
      <c r="C319" s="153"/>
      <c r="D319" s="148" t="str">
        <f t="shared" si="24"/>
        <v/>
      </c>
      <c r="E319" s="159"/>
      <c r="F319" s="148" t="str">
        <f t="shared" si="26"/>
        <v/>
      </c>
      <c r="G319" s="156"/>
      <c r="H319" s="156"/>
      <c r="I319" s="156"/>
      <c r="J319" s="174"/>
      <c r="K319" s="173"/>
      <c r="L319" s="173"/>
      <c r="M319" s="174"/>
      <c r="N319" s="174"/>
      <c r="P319" s="144" t="str">
        <f t="shared" si="27"/>
        <v/>
      </c>
      <c r="Q319" s="144" t="str">
        <f t="shared" si="28"/>
        <v/>
      </c>
    </row>
    <row r="320" spans="1:17">
      <c r="A320" s="153"/>
      <c r="B320" s="148" t="str">
        <f t="shared" si="25"/>
        <v/>
      </c>
      <c r="C320" s="153"/>
      <c r="D320" s="148" t="str">
        <f t="shared" si="24"/>
        <v/>
      </c>
      <c r="E320" s="159"/>
      <c r="F320" s="148" t="str">
        <f t="shared" si="26"/>
        <v/>
      </c>
      <c r="G320" s="156"/>
      <c r="H320" s="156"/>
      <c r="I320" s="156"/>
      <c r="J320" s="174"/>
      <c r="K320" s="173"/>
      <c r="L320" s="173"/>
      <c r="M320" s="174"/>
      <c r="N320" s="174"/>
      <c r="P320" s="144" t="str">
        <f t="shared" si="27"/>
        <v/>
      </c>
      <c r="Q320" s="144" t="str">
        <f t="shared" si="28"/>
        <v/>
      </c>
    </row>
    <row r="321" spans="1:17">
      <c r="A321" s="153"/>
      <c r="B321" s="148" t="str">
        <f t="shared" si="25"/>
        <v/>
      </c>
      <c r="C321" s="153"/>
      <c r="D321" s="148" t="str">
        <f t="shared" si="24"/>
        <v/>
      </c>
      <c r="E321" s="159"/>
      <c r="F321" s="148" t="str">
        <f t="shared" si="26"/>
        <v/>
      </c>
      <c r="G321" s="156"/>
      <c r="H321" s="156"/>
      <c r="I321" s="156"/>
      <c r="J321" s="174"/>
      <c r="K321" s="173"/>
      <c r="L321" s="173"/>
      <c r="M321" s="174"/>
      <c r="N321" s="174"/>
      <c r="P321" s="144" t="str">
        <f t="shared" si="27"/>
        <v/>
      </c>
      <c r="Q321" s="144" t="str">
        <f t="shared" si="28"/>
        <v/>
      </c>
    </row>
    <row r="322" spans="1:17">
      <c r="A322" s="153"/>
      <c r="B322" s="148" t="str">
        <f t="shared" si="25"/>
        <v/>
      </c>
      <c r="C322" s="153"/>
      <c r="D322" s="148" t="str">
        <f t="shared" si="24"/>
        <v/>
      </c>
      <c r="E322" s="159"/>
      <c r="F322" s="148" t="str">
        <f t="shared" si="26"/>
        <v/>
      </c>
      <c r="G322" s="156"/>
      <c r="H322" s="156"/>
      <c r="I322" s="156"/>
      <c r="J322" s="174"/>
      <c r="K322" s="173"/>
      <c r="L322" s="173"/>
      <c r="M322" s="174"/>
      <c r="N322" s="174"/>
      <c r="P322" s="144" t="str">
        <f t="shared" si="27"/>
        <v/>
      </c>
      <c r="Q322" s="144" t="str">
        <f t="shared" si="28"/>
        <v/>
      </c>
    </row>
    <row r="323" spans="1:17">
      <c r="A323" s="153"/>
      <c r="B323" s="148" t="str">
        <f t="shared" si="25"/>
        <v/>
      </c>
      <c r="C323" s="153"/>
      <c r="D323" s="148" t="str">
        <f t="shared" ref="D323:D386" si="29">IFERROR(VLOOKUP(C323,$U$5:$W$129,2,FALSE),"")</f>
        <v/>
      </c>
      <c r="E323" s="159"/>
      <c r="F323" s="148" t="str">
        <f t="shared" si="26"/>
        <v/>
      </c>
      <c r="G323" s="156"/>
      <c r="H323" s="156"/>
      <c r="I323" s="156"/>
      <c r="J323" s="174"/>
      <c r="K323" s="173"/>
      <c r="L323" s="173"/>
      <c r="M323" s="174"/>
      <c r="N323" s="174"/>
      <c r="P323" s="144" t="str">
        <f t="shared" si="27"/>
        <v/>
      </c>
      <c r="Q323" s="144" t="str">
        <f t="shared" si="28"/>
        <v/>
      </c>
    </row>
    <row r="324" spans="1:17">
      <c r="A324" s="153"/>
      <c r="B324" s="148" t="str">
        <f t="shared" ref="B324:B387" si="30">IFERROR(VLOOKUP(A324,$R$6:$S$16,2,FALSE),"")</f>
        <v/>
      </c>
      <c r="C324" s="153"/>
      <c r="D324" s="148" t="str">
        <f t="shared" si="29"/>
        <v/>
      </c>
      <c r="E324" s="159"/>
      <c r="F324" s="148" t="str">
        <f t="shared" ref="F324:F387" si="31">IFERROR(VLOOKUP(E324,$AA$6:$AB$200,2,FALSE),"")</f>
        <v/>
      </c>
      <c r="G324" s="156"/>
      <c r="H324" s="156"/>
      <c r="I324" s="156"/>
      <c r="J324" s="174"/>
      <c r="K324" s="173"/>
      <c r="L324" s="173"/>
      <c r="M324" s="174"/>
      <c r="N324" s="174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3"/>
      <c r="B325" s="148" t="str">
        <f t="shared" si="30"/>
        <v/>
      </c>
      <c r="C325" s="153"/>
      <c r="D325" s="148" t="str">
        <f t="shared" si="29"/>
        <v/>
      </c>
      <c r="E325" s="159"/>
      <c r="F325" s="148" t="str">
        <f t="shared" si="31"/>
        <v/>
      </c>
      <c r="G325" s="156"/>
      <c r="H325" s="156"/>
      <c r="I325" s="156"/>
      <c r="J325" s="174"/>
      <c r="K325" s="173"/>
      <c r="L325" s="173"/>
      <c r="M325" s="174"/>
      <c r="N325" s="174"/>
      <c r="P325" s="144" t="str">
        <f t="shared" si="32"/>
        <v/>
      </c>
      <c r="Q325" s="144" t="str">
        <f t="shared" si="33"/>
        <v/>
      </c>
    </row>
    <row r="326" spans="1:17">
      <c r="A326" s="153"/>
      <c r="B326" s="148" t="str">
        <f t="shared" si="30"/>
        <v/>
      </c>
      <c r="C326" s="153"/>
      <c r="D326" s="148" t="str">
        <f t="shared" si="29"/>
        <v/>
      </c>
      <c r="E326" s="159"/>
      <c r="F326" s="148" t="str">
        <f t="shared" si="31"/>
        <v/>
      </c>
      <c r="G326" s="156"/>
      <c r="H326" s="156"/>
      <c r="I326" s="156"/>
      <c r="J326" s="174"/>
      <c r="K326" s="173"/>
      <c r="L326" s="173"/>
      <c r="M326" s="174"/>
      <c r="N326" s="174"/>
      <c r="P326" s="144" t="str">
        <f t="shared" si="32"/>
        <v/>
      </c>
      <c r="Q326" s="144" t="str">
        <f t="shared" si="33"/>
        <v/>
      </c>
    </row>
    <row r="327" spans="1:17">
      <c r="A327" s="153"/>
      <c r="B327" s="148" t="str">
        <f t="shared" si="30"/>
        <v/>
      </c>
      <c r="C327" s="153"/>
      <c r="D327" s="148" t="str">
        <f t="shared" si="29"/>
        <v/>
      </c>
      <c r="E327" s="159"/>
      <c r="F327" s="148" t="str">
        <f t="shared" si="31"/>
        <v/>
      </c>
      <c r="G327" s="156"/>
      <c r="H327" s="156"/>
      <c r="I327" s="156"/>
      <c r="J327" s="174"/>
      <c r="K327" s="173"/>
      <c r="L327" s="173"/>
      <c r="M327" s="174"/>
      <c r="N327" s="174"/>
      <c r="P327" s="144" t="str">
        <f t="shared" si="32"/>
        <v/>
      </c>
      <c r="Q327" s="144" t="str">
        <f t="shared" si="33"/>
        <v/>
      </c>
    </row>
    <row r="328" spans="1:17">
      <c r="A328" s="153"/>
      <c r="B328" s="148" t="str">
        <f t="shared" si="30"/>
        <v/>
      </c>
      <c r="C328" s="153"/>
      <c r="D328" s="148" t="str">
        <f t="shared" si="29"/>
        <v/>
      </c>
      <c r="E328" s="159"/>
      <c r="F328" s="148" t="str">
        <f t="shared" si="31"/>
        <v/>
      </c>
      <c r="G328" s="156"/>
      <c r="H328" s="156"/>
      <c r="I328" s="156"/>
      <c r="J328" s="174"/>
      <c r="K328" s="173"/>
      <c r="L328" s="173"/>
      <c r="M328" s="174"/>
      <c r="N328" s="174"/>
      <c r="P328" s="144" t="str">
        <f t="shared" si="32"/>
        <v/>
      </c>
      <c r="Q328" s="144" t="str">
        <f t="shared" si="33"/>
        <v/>
      </c>
    </row>
    <row r="329" spans="1:17">
      <c r="A329" s="153"/>
      <c r="B329" s="148" t="str">
        <f t="shared" si="30"/>
        <v/>
      </c>
      <c r="C329" s="153"/>
      <c r="D329" s="148" t="str">
        <f t="shared" si="29"/>
        <v/>
      </c>
      <c r="E329" s="159"/>
      <c r="F329" s="148" t="str">
        <f t="shared" si="31"/>
        <v/>
      </c>
      <c r="G329" s="156"/>
      <c r="H329" s="156"/>
      <c r="I329" s="156"/>
      <c r="J329" s="174"/>
      <c r="K329" s="173"/>
      <c r="L329" s="173"/>
      <c r="M329" s="174"/>
      <c r="N329" s="174"/>
      <c r="P329" s="144" t="str">
        <f t="shared" si="32"/>
        <v/>
      </c>
      <c r="Q329" s="144" t="str">
        <f t="shared" si="33"/>
        <v/>
      </c>
    </row>
    <row r="330" spans="1:17">
      <c r="A330" s="153"/>
      <c r="B330" s="148" t="str">
        <f t="shared" si="30"/>
        <v/>
      </c>
      <c r="C330" s="153"/>
      <c r="D330" s="148" t="str">
        <f t="shared" si="29"/>
        <v/>
      </c>
      <c r="E330" s="159"/>
      <c r="F330" s="148" t="str">
        <f t="shared" si="31"/>
        <v/>
      </c>
      <c r="G330" s="156"/>
      <c r="H330" s="156"/>
      <c r="I330" s="156"/>
      <c r="J330" s="174"/>
      <c r="K330" s="173"/>
      <c r="L330" s="173"/>
      <c r="M330" s="174"/>
      <c r="N330" s="174"/>
      <c r="P330" s="144" t="str">
        <f t="shared" si="32"/>
        <v/>
      </c>
      <c r="Q330" s="144" t="str">
        <f t="shared" si="33"/>
        <v/>
      </c>
    </row>
    <row r="331" spans="1:17">
      <c r="A331" s="153"/>
      <c r="B331" s="148" t="str">
        <f t="shared" si="30"/>
        <v/>
      </c>
      <c r="C331" s="153"/>
      <c r="D331" s="148" t="str">
        <f t="shared" si="29"/>
        <v/>
      </c>
      <c r="E331" s="159"/>
      <c r="F331" s="148" t="str">
        <f t="shared" si="31"/>
        <v/>
      </c>
      <c r="G331" s="156"/>
      <c r="H331" s="156"/>
      <c r="I331" s="156"/>
      <c r="J331" s="174"/>
      <c r="K331" s="173"/>
      <c r="L331" s="173"/>
      <c r="M331" s="174"/>
      <c r="N331" s="174"/>
      <c r="P331" s="144" t="str">
        <f t="shared" si="32"/>
        <v/>
      </c>
      <c r="Q331" s="144" t="str">
        <f t="shared" si="33"/>
        <v/>
      </c>
    </row>
    <row r="332" spans="1:17">
      <c r="A332" s="153"/>
      <c r="B332" s="148" t="str">
        <f t="shared" si="30"/>
        <v/>
      </c>
      <c r="C332" s="153"/>
      <c r="D332" s="148" t="str">
        <f t="shared" si="29"/>
        <v/>
      </c>
      <c r="E332" s="159"/>
      <c r="F332" s="148" t="str">
        <f t="shared" si="31"/>
        <v/>
      </c>
      <c r="G332" s="156"/>
      <c r="H332" s="156"/>
      <c r="I332" s="156"/>
      <c r="J332" s="174"/>
      <c r="K332" s="173"/>
      <c r="L332" s="173"/>
      <c r="M332" s="174"/>
      <c r="N332" s="174"/>
      <c r="P332" s="144" t="str">
        <f t="shared" si="32"/>
        <v/>
      </c>
      <c r="Q332" s="144" t="str">
        <f t="shared" si="33"/>
        <v/>
      </c>
    </row>
    <row r="333" spans="1:17">
      <c r="A333" s="153"/>
      <c r="B333" s="148" t="str">
        <f t="shared" si="30"/>
        <v/>
      </c>
      <c r="C333" s="153"/>
      <c r="D333" s="148" t="str">
        <f t="shared" si="29"/>
        <v/>
      </c>
      <c r="E333" s="159"/>
      <c r="F333" s="148" t="str">
        <f t="shared" si="31"/>
        <v/>
      </c>
      <c r="G333" s="156"/>
      <c r="H333" s="156"/>
      <c r="I333" s="156"/>
      <c r="J333" s="174"/>
      <c r="K333" s="173"/>
      <c r="L333" s="173"/>
      <c r="M333" s="174"/>
      <c r="N333" s="174"/>
      <c r="P333" s="144" t="str">
        <f t="shared" si="32"/>
        <v/>
      </c>
      <c r="Q333" s="144" t="str">
        <f t="shared" si="33"/>
        <v/>
      </c>
    </row>
    <row r="334" spans="1:17">
      <c r="A334" s="153"/>
      <c r="B334" s="148" t="str">
        <f t="shared" si="30"/>
        <v/>
      </c>
      <c r="C334" s="153"/>
      <c r="D334" s="148" t="str">
        <f t="shared" si="29"/>
        <v/>
      </c>
      <c r="E334" s="159"/>
      <c r="F334" s="148" t="str">
        <f t="shared" si="31"/>
        <v/>
      </c>
      <c r="G334" s="156"/>
      <c r="H334" s="156"/>
      <c r="I334" s="156"/>
      <c r="J334" s="174"/>
      <c r="K334" s="173"/>
      <c r="L334" s="173"/>
      <c r="M334" s="174"/>
      <c r="N334" s="174"/>
      <c r="P334" s="144" t="str">
        <f t="shared" si="32"/>
        <v/>
      </c>
      <c r="Q334" s="144" t="str">
        <f t="shared" si="33"/>
        <v/>
      </c>
    </row>
    <row r="335" spans="1:17">
      <c r="A335" s="153"/>
      <c r="B335" s="148" t="str">
        <f t="shared" si="30"/>
        <v/>
      </c>
      <c r="C335" s="153"/>
      <c r="D335" s="148" t="str">
        <f t="shared" si="29"/>
        <v/>
      </c>
      <c r="E335" s="159"/>
      <c r="F335" s="148" t="str">
        <f t="shared" si="31"/>
        <v/>
      </c>
      <c r="G335" s="156"/>
      <c r="H335" s="156"/>
      <c r="I335" s="156"/>
      <c r="J335" s="174"/>
      <c r="K335" s="173"/>
      <c r="L335" s="173"/>
      <c r="M335" s="174"/>
      <c r="N335" s="174"/>
      <c r="P335" s="144" t="str">
        <f t="shared" si="32"/>
        <v/>
      </c>
      <c r="Q335" s="144" t="str">
        <f t="shared" si="33"/>
        <v/>
      </c>
    </row>
    <row r="336" spans="1:17">
      <c r="A336" s="153"/>
      <c r="B336" s="148" t="str">
        <f t="shared" si="30"/>
        <v/>
      </c>
      <c r="C336" s="153"/>
      <c r="D336" s="148" t="str">
        <f t="shared" si="29"/>
        <v/>
      </c>
      <c r="E336" s="159"/>
      <c r="F336" s="148" t="str">
        <f t="shared" si="31"/>
        <v/>
      </c>
      <c r="G336" s="156"/>
      <c r="H336" s="156"/>
      <c r="I336" s="156"/>
      <c r="J336" s="174"/>
      <c r="K336" s="173"/>
      <c r="L336" s="173"/>
      <c r="M336" s="174"/>
      <c r="N336" s="174"/>
      <c r="P336" s="144" t="str">
        <f t="shared" si="32"/>
        <v/>
      </c>
      <c r="Q336" s="144" t="str">
        <f t="shared" si="33"/>
        <v/>
      </c>
    </row>
    <row r="337" spans="1:17">
      <c r="A337" s="153"/>
      <c r="B337" s="148" t="str">
        <f t="shared" si="30"/>
        <v/>
      </c>
      <c r="C337" s="153"/>
      <c r="D337" s="148" t="str">
        <f t="shared" si="29"/>
        <v/>
      </c>
      <c r="E337" s="159"/>
      <c r="F337" s="148" t="str">
        <f t="shared" si="31"/>
        <v/>
      </c>
      <c r="G337" s="156"/>
      <c r="H337" s="156"/>
      <c r="I337" s="156"/>
      <c r="J337" s="174"/>
      <c r="K337" s="173"/>
      <c r="L337" s="173"/>
      <c r="M337" s="174"/>
      <c r="N337" s="174"/>
      <c r="P337" s="144" t="str">
        <f t="shared" si="32"/>
        <v/>
      </c>
      <c r="Q337" s="144" t="str">
        <f t="shared" si="33"/>
        <v/>
      </c>
    </row>
    <row r="338" spans="1:17">
      <c r="A338" s="153"/>
      <c r="B338" s="148" t="str">
        <f t="shared" si="30"/>
        <v/>
      </c>
      <c r="C338" s="153"/>
      <c r="D338" s="148" t="str">
        <f t="shared" si="29"/>
        <v/>
      </c>
      <c r="E338" s="159"/>
      <c r="F338" s="148" t="str">
        <f t="shared" si="31"/>
        <v/>
      </c>
      <c r="G338" s="156"/>
      <c r="H338" s="156"/>
      <c r="I338" s="156"/>
      <c r="J338" s="174"/>
      <c r="K338" s="173"/>
      <c r="L338" s="173"/>
      <c r="M338" s="174"/>
      <c r="N338" s="174"/>
      <c r="P338" s="144" t="str">
        <f t="shared" si="32"/>
        <v/>
      </c>
      <c r="Q338" s="144" t="str">
        <f t="shared" si="33"/>
        <v/>
      </c>
    </row>
    <row r="339" spans="1:17">
      <c r="A339" s="153"/>
      <c r="B339" s="148" t="str">
        <f t="shared" si="30"/>
        <v/>
      </c>
      <c r="C339" s="153"/>
      <c r="D339" s="148" t="str">
        <f t="shared" si="29"/>
        <v/>
      </c>
      <c r="E339" s="159"/>
      <c r="F339" s="148" t="str">
        <f t="shared" si="31"/>
        <v/>
      </c>
      <c r="G339" s="156"/>
      <c r="H339" s="156"/>
      <c r="I339" s="156"/>
      <c r="J339" s="174"/>
      <c r="K339" s="173"/>
      <c r="L339" s="173"/>
      <c r="M339" s="174"/>
      <c r="N339" s="174"/>
      <c r="P339" s="144" t="str">
        <f t="shared" si="32"/>
        <v/>
      </c>
      <c r="Q339" s="144" t="str">
        <f t="shared" si="33"/>
        <v/>
      </c>
    </row>
    <row r="340" spans="1:17">
      <c r="A340" s="153"/>
      <c r="B340" s="148" t="str">
        <f t="shared" si="30"/>
        <v/>
      </c>
      <c r="C340" s="153"/>
      <c r="D340" s="148" t="str">
        <f t="shared" si="29"/>
        <v/>
      </c>
      <c r="E340" s="159"/>
      <c r="F340" s="148" t="str">
        <f t="shared" si="31"/>
        <v/>
      </c>
      <c r="G340" s="156"/>
      <c r="H340" s="156"/>
      <c r="I340" s="156"/>
      <c r="J340" s="174"/>
      <c r="K340" s="173"/>
      <c r="L340" s="173"/>
      <c r="M340" s="174"/>
      <c r="N340" s="174"/>
      <c r="P340" s="144" t="str">
        <f t="shared" si="32"/>
        <v/>
      </c>
      <c r="Q340" s="144" t="str">
        <f t="shared" si="33"/>
        <v/>
      </c>
    </row>
    <row r="341" spans="1:17">
      <c r="A341" s="153"/>
      <c r="B341" s="148" t="str">
        <f t="shared" si="30"/>
        <v/>
      </c>
      <c r="C341" s="153"/>
      <c r="D341" s="148" t="str">
        <f t="shared" si="29"/>
        <v/>
      </c>
      <c r="E341" s="159"/>
      <c r="F341" s="148" t="str">
        <f t="shared" si="31"/>
        <v/>
      </c>
      <c r="G341" s="156"/>
      <c r="H341" s="156"/>
      <c r="I341" s="156"/>
      <c r="J341" s="174"/>
      <c r="K341" s="173"/>
      <c r="L341" s="173"/>
      <c r="M341" s="174"/>
      <c r="N341" s="174"/>
      <c r="P341" s="144" t="str">
        <f t="shared" si="32"/>
        <v/>
      </c>
      <c r="Q341" s="144" t="str">
        <f t="shared" si="33"/>
        <v/>
      </c>
    </row>
    <row r="342" spans="1:17">
      <c r="A342" s="153"/>
      <c r="B342" s="148" t="str">
        <f t="shared" si="30"/>
        <v/>
      </c>
      <c r="C342" s="153"/>
      <c r="D342" s="148" t="str">
        <f t="shared" si="29"/>
        <v/>
      </c>
      <c r="E342" s="159"/>
      <c r="F342" s="148" t="str">
        <f t="shared" si="31"/>
        <v/>
      </c>
      <c r="G342" s="156"/>
      <c r="H342" s="156"/>
      <c r="I342" s="156"/>
      <c r="J342" s="174"/>
      <c r="K342" s="173"/>
      <c r="L342" s="173"/>
      <c r="M342" s="174"/>
      <c r="N342" s="174"/>
      <c r="P342" s="144" t="str">
        <f t="shared" si="32"/>
        <v/>
      </c>
      <c r="Q342" s="144" t="str">
        <f t="shared" si="33"/>
        <v/>
      </c>
    </row>
    <row r="343" spans="1:17">
      <c r="A343" s="153"/>
      <c r="B343" s="148" t="str">
        <f t="shared" si="30"/>
        <v/>
      </c>
      <c r="C343" s="153"/>
      <c r="D343" s="148" t="str">
        <f t="shared" si="29"/>
        <v/>
      </c>
      <c r="E343" s="159"/>
      <c r="F343" s="148" t="str">
        <f t="shared" si="31"/>
        <v/>
      </c>
      <c r="G343" s="156"/>
      <c r="H343" s="156"/>
      <c r="I343" s="156"/>
      <c r="J343" s="174"/>
      <c r="K343" s="173"/>
      <c r="L343" s="173"/>
      <c r="M343" s="174"/>
      <c r="N343" s="174"/>
      <c r="P343" s="144" t="str">
        <f t="shared" si="32"/>
        <v/>
      </c>
      <c r="Q343" s="144" t="str">
        <f t="shared" si="33"/>
        <v/>
      </c>
    </row>
    <row r="344" spans="1:17">
      <c r="A344" s="153"/>
      <c r="B344" s="148" t="str">
        <f t="shared" si="30"/>
        <v/>
      </c>
      <c r="C344" s="153"/>
      <c r="D344" s="148" t="str">
        <f t="shared" si="29"/>
        <v/>
      </c>
      <c r="E344" s="159"/>
      <c r="F344" s="148" t="str">
        <f t="shared" si="31"/>
        <v/>
      </c>
      <c r="G344" s="156"/>
      <c r="H344" s="156"/>
      <c r="I344" s="156"/>
      <c r="J344" s="174"/>
      <c r="K344" s="173"/>
      <c r="L344" s="173"/>
      <c r="M344" s="174"/>
      <c r="N344" s="174"/>
      <c r="P344" s="144" t="str">
        <f t="shared" si="32"/>
        <v/>
      </c>
      <c r="Q344" s="144" t="str">
        <f t="shared" si="33"/>
        <v/>
      </c>
    </row>
    <row r="345" spans="1:17">
      <c r="A345" s="153"/>
      <c r="B345" s="148" t="str">
        <f t="shared" si="30"/>
        <v/>
      </c>
      <c r="C345" s="153"/>
      <c r="D345" s="148" t="str">
        <f t="shared" si="29"/>
        <v/>
      </c>
      <c r="E345" s="159"/>
      <c r="F345" s="148" t="str">
        <f t="shared" si="31"/>
        <v/>
      </c>
      <c r="G345" s="156"/>
      <c r="H345" s="156"/>
      <c r="I345" s="156"/>
      <c r="J345" s="174"/>
      <c r="K345" s="173"/>
      <c r="L345" s="173"/>
      <c r="M345" s="174"/>
      <c r="N345" s="174"/>
      <c r="P345" s="144" t="str">
        <f t="shared" si="32"/>
        <v/>
      </c>
      <c r="Q345" s="144" t="str">
        <f t="shared" si="33"/>
        <v/>
      </c>
    </row>
    <row r="346" spans="1:17">
      <c r="A346" s="153"/>
      <c r="B346" s="148" t="str">
        <f t="shared" si="30"/>
        <v/>
      </c>
      <c r="C346" s="153"/>
      <c r="D346" s="148" t="str">
        <f t="shared" si="29"/>
        <v/>
      </c>
      <c r="E346" s="159"/>
      <c r="F346" s="148" t="str">
        <f t="shared" si="31"/>
        <v/>
      </c>
      <c r="G346" s="156"/>
      <c r="H346" s="156"/>
      <c r="I346" s="156"/>
      <c r="J346" s="174"/>
      <c r="K346" s="173"/>
      <c r="L346" s="173"/>
      <c r="M346" s="174"/>
      <c r="N346" s="174"/>
      <c r="P346" s="144" t="str">
        <f t="shared" si="32"/>
        <v/>
      </c>
      <c r="Q346" s="144" t="str">
        <f t="shared" si="33"/>
        <v/>
      </c>
    </row>
    <row r="347" spans="1:17">
      <c r="A347" s="153"/>
      <c r="B347" s="148" t="str">
        <f t="shared" si="30"/>
        <v/>
      </c>
      <c r="C347" s="153"/>
      <c r="D347" s="148" t="str">
        <f t="shared" si="29"/>
        <v/>
      </c>
      <c r="E347" s="159"/>
      <c r="F347" s="148" t="str">
        <f t="shared" si="31"/>
        <v/>
      </c>
      <c r="G347" s="156"/>
      <c r="H347" s="156"/>
      <c r="I347" s="156"/>
      <c r="J347" s="174"/>
      <c r="K347" s="173"/>
      <c r="L347" s="173"/>
      <c r="M347" s="174"/>
      <c r="N347" s="174"/>
      <c r="P347" s="144" t="str">
        <f t="shared" si="32"/>
        <v/>
      </c>
      <c r="Q347" s="144" t="str">
        <f t="shared" si="33"/>
        <v/>
      </c>
    </row>
    <row r="348" spans="1:17">
      <c r="A348" s="153"/>
      <c r="B348" s="148" t="str">
        <f t="shared" si="30"/>
        <v/>
      </c>
      <c r="C348" s="153"/>
      <c r="D348" s="148" t="str">
        <f t="shared" si="29"/>
        <v/>
      </c>
      <c r="E348" s="159"/>
      <c r="F348" s="148" t="str">
        <f t="shared" si="31"/>
        <v/>
      </c>
      <c r="G348" s="156"/>
      <c r="H348" s="156"/>
      <c r="I348" s="156"/>
      <c r="J348" s="174"/>
      <c r="K348" s="173"/>
      <c r="L348" s="173"/>
      <c r="M348" s="174"/>
      <c r="N348" s="174"/>
      <c r="P348" s="144" t="str">
        <f t="shared" si="32"/>
        <v/>
      </c>
      <c r="Q348" s="144" t="str">
        <f t="shared" si="33"/>
        <v/>
      </c>
    </row>
    <row r="349" spans="1:17">
      <c r="A349" s="153"/>
      <c r="B349" s="148" t="str">
        <f t="shared" si="30"/>
        <v/>
      </c>
      <c r="C349" s="153"/>
      <c r="D349" s="148" t="str">
        <f t="shared" si="29"/>
        <v/>
      </c>
      <c r="E349" s="159"/>
      <c r="F349" s="148" t="str">
        <f t="shared" si="31"/>
        <v/>
      </c>
      <c r="G349" s="156"/>
      <c r="H349" s="156"/>
      <c r="I349" s="156"/>
      <c r="J349" s="174"/>
      <c r="K349" s="173"/>
      <c r="L349" s="173"/>
      <c r="M349" s="174"/>
      <c r="N349" s="174"/>
      <c r="P349" s="144" t="str">
        <f t="shared" si="32"/>
        <v/>
      </c>
      <c r="Q349" s="144" t="str">
        <f t="shared" si="33"/>
        <v/>
      </c>
    </row>
    <row r="350" spans="1:17">
      <c r="A350" s="153"/>
      <c r="B350" s="148" t="str">
        <f t="shared" si="30"/>
        <v/>
      </c>
      <c r="C350" s="153"/>
      <c r="D350" s="148" t="str">
        <f t="shared" si="29"/>
        <v/>
      </c>
      <c r="E350" s="159"/>
      <c r="F350" s="148" t="str">
        <f t="shared" si="31"/>
        <v/>
      </c>
      <c r="G350" s="156"/>
      <c r="H350" s="156"/>
      <c r="I350" s="156"/>
      <c r="J350" s="174"/>
      <c r="K350" s="173"/>
      <c r="L350" s="173"/>
      <c r="M350" s="174"/>
      <c r="N350" s="174"/>
      <c r="P350" s="144" t="str">
        <f t="shared" si="32"/>
        <v/>
      </c>
      <c r="Q350" s="144" t="str">
        <f t="shared" si="33"/>
        <v/>
      </c>
    </row>
    <row r="351" spans="1:17">
      <c r="A351" s="153"/>
      <c r="B351" s="148" t="str">
        <f t="shared" si="30"/>
        <v/>
      </c>
      <c r="C351" s="153"/>
      <c r="D351" s="148" t="str">
        <f t="shared" si="29"/>
        <v/>
      </c>
      <c r="E351" s="159"/>
      <c r="F351" s="148" t="str">
        <f t="shared" si="31"/>
        <v/>
      </c>
      <c r="G351" s="156"/>
      <c r="H351" s="156"/>
      <c r="I351" s="156"/>
      <c r="J351" s="174"/>
      <c r="K351" s="173"/>
      <c r="L351" s="173"/>
      <c r="M351" s="174"/>
      <c r="N351" s="174"/>
      <c r="P351" s="144" t="str">
        <f t="shared" si="32"/>
        <v/>
      </c>
      <c r="Q351" s="144" t="str">
        <f t="shared" si="33"/>
        <v/>
      </c>
    </row>
    <row r="352" spans="1:17">
      <c r="A352" s="153"/>
      <c r="B352" s="148" t="str">
        <f t="shared" si="30"/>
        <v/>
      </c>
      <c r="C352" s="153"/>
      <c r="D352" s="148" t="str">
        <f t="shared" si="29"/>
        <v/>
      </c>
      <c r="E352" s="159"/>
      <c r="F352" s="148" t="str">
        <f t="shared" si="31"/>
        <v/>
      </c>
      <c r="G352" s="156"/>
      <c r="H352" s="156"/>
      <c r="I352" s="156"/>
      <c r="J352" s="174"/>
      <c r="K352" s="173"/>
      <c r="L352" s="173"/>
      <c r="M352" s="174"/>
      <c r="N352" s="174"/>
      <c r="P352" s="144" t="str">
        <f t="shared" si="32"/>
        <v/>
      </c>
      <c r="Q352" s="144" t="str">
        <f t="shared" si="33"/>
        <v/>
      </c>
    </row>
    <row r="353" spans="1:17">
      <c r="A353" s="153"/>
      <c r="B353" s="148" t="str">
        <f t="shared" si="30"/>
        <v/>
      </c>
      <c r="C353" s="153"/>
      <c r="D353" s="148" t="str">
        <f t="shared" si="29"/>
        <v/>
      </c>
      <c r="E353" s="159"/>
      <c r="F353" s="148" t="str">
        <f t="shared" si="31"/>
        <v/>
      </c>
      <c r="G353" s="156"/>
      <c r="H353" s="156"/>
      <c r="I353" s="156"/>
      <c r="J353" s="174"/>
      <c r="K353" s="173"/>
      <c r="L353" s="173"/>
      <c r="M353" s="174"/>
      <c r="N353" s="174"/>
      <c r="P353" s="144" t="str">
        <f t="shared" si="32"/>
        <v/>
      </c>
      <c r="Q353" s="144" t="str">
        <f t="shared" si="33"/>
        <v/>
      </c>
    </row>
    <row r="354" spans="1:17">
      <c r="A354" s="153"/>
      <c r="B354" s="148" t="str">
        <f t="shared" si="30"/>
        <v/>
      </c>
      <c r="C354" s="153"/>
      <c r="D354" s="148" t="str">
        <f t="shared" si="29"/>
        <v/>
      </c>
      <c r="E354" s="159"/>
      <c r="F354" s="148" t="str">
        <f t="shared" si="31"/>
        <v/>
      </c>
      <c r="G354" s="156"/>
      <c r="H354" s="156"/>
      <c r="I354" s="156"/>
      <c r="J354" s="174"/>
      <c r="K354" s="173"/>
      <c r="L354" s="173"/>
      <c r="M354" s="174"/>
      <c r="N354" s="174"/>
      <c r="P354" s="144" t="str">
        <f t="shared" si="32"/>
        <v/>
      </c>
      <c r="Q354" s="144" t="str">
        <f t="shared" si="33"/>
        <v/>
      </c>
    </row>
    <row r="355" spans="1:17">
      <c r="A355" s="153"/>
      <c r="B355" s="148" t="str">
        <f t="shared" si="30"/>
        <v/>
      </c>
      <c r="C355" s="153"/>
      <c r="D355" s="148" t="str">
        <f t="shared" si="29"/>
        <v/>
      </c>
      <c r="E355" s="159"/>
      <c r="F355" s="148" t="str">
        <f t="shared" si="31"/>
        <v/>
      </c>
      <c r="G355" s="156"/>
      <c r="H355" s="156"/>
      <c r="I355" s="156"/>
      <c r="J355" s="174"/>
      <c r="K355" s="173"/>
      <c r="L355" s="173"/>
      <c r="M355" s="174"/>
      <c r="N355" s="174"/>
      <c r="P355" s="144" t="str">
        <f t="shared" si="32"/>
        <v/>
      </c>
      <c r="Q355" s="144" t="str">
        <f t="shared" si="33"/>
        <v/>
      </c>
    </row>
    <row r="356" spans="1:17">
      <c r="A356" s="153"/>
      <c r="B356" s="148" t="str">
        <f t="shared" si="30"/>
        <v/>
      </c>
      <c r="C356" s="153"/>
      <c r="D356" s="148" t="str">
        <f t="shared" si="29"/>
        <v/>
      </c>
      <c r="E356" s="159"/>
      <c r="F356" s="148" t="str">
        <f t="shared" si="31"/>
        <v/>
      </c>
      <c r="G356" s="156"/>
      <c r="H356" s="156"/>
      <c r="I356" s="156"/>
      <c r="J356" s="174"/>
      <c r="K356" s="173"/>
      <c r="L356" s="173"/>
      <c r="M356" s="174"/>
      <c r="N356" s="174"/>
      <c r="P356" s="144" t="str">
        <f t="shared" si="32"/>
        <v/>
      </c>
      <c r="Q356" s="144" t="str">
        <f t="shared" si="33"/>
        <v/>
      </c>
    </row>
    <row r="357" spans="1:17">
      <c r="A357" s="153"/>
      <c r="B357" s="148" t="str">
        <f t="shared" si="30"/>
        <v/>
      </c>
      <c r="C357" s="153"/>
      <c r="D357" s="148" t="str">
        <f t="shared" si="29"/>
        <v/>
      </c>
      <c r="E357" s="159"/>
      <c r="F357" s="148" t="str">
        <f t="shared" si="31"/>
        <v/>
      </c>
      <c r="G357" s="156"/>
      <c r="H357" s="156"/>
      <c r="I357" s="156"/>
      <c r="J357" s="174"/>
      <c r="K357" s="173"/>
      <c r="L357" s="173"/>
      <c r="M357" s="174"/>
      <c r="N357" s="174"/>
      <c r="P357" s="144" t="str">
        <f t="shared" si="32"/>
        <v/>
      </c>
      <c r="Q357" s="144" t="str">
        <f t="shared" si="33"/>
        <v/>
      </c>
    </row>
    <row r="358" spans="1:17">
      <c r="A358" s="153"/>
      <c r="B358" s="148" t="str">
        <f t="shared" si="30"/>
        <v/>
      </c>
      <c r="C358" s="153"/>
      <c r="D358" s="148" t="str">
        <f t="shared" si="29"/>
        <v/>
      </c>
      <c r="E358" s="159"/>
      <c r="F358" s="148" t="str">
        <f t="shared" si="31"/>
        <v/>
      </c>
      <c r="G358" s="156"/>
      <c r="H358" s="156"/>
      <c r="I358" s="156"/>
      <c r="J358" s="174"/>
      <c r="K358" s="173"/>
      <c r="L358" s="173"/>
      <c r="M358" s="174"/>
      <c r="N358" s="174"/>
      <c r="P358" s="144" t="str">
        <f t="shared" si="32"/>
        <v/>
      </c>
      <c r="Q358" s="144" t="str">
        <f t="shared" si="33"/>
        <v/>
      </c>
    </row>
    <row r="359" spans="1:17">
      <c r="A359" s="153"/>
      <c r="B359" s="148" t="str">
        <f t="shared" si="30"/>
        <v/>
      </c>
      <c r="C359" s="153"/>
      <c r="D359" s="148" t="str">
        <f t="shared" si="29"/>
        <v/>
      </c>
      <c r="E359" s="159"/>
      <c r="F359" s="148" t="str">
        <f t="shared" si="31"/>
        <v/>
      </c>
      <c r="G359" s="156"/>
      <c r="H359" s="156"/>
      <c r="I359" s="156"/>
      <c r="J359" s="174"/>
      <c r="K359" s="173"/>
      <c r="L359" s="173"/>
      <c r="M359" s="174"/>
      <c r="N359" s="174"/>
      <c r="P359" s="144" t="str">
        <f t="shared" si="32"/>
        <v/>
      </c>
      <c r="Q359" s="144" t="str">
        <f t="shared" si="33"/>
        <v/>
      </c>
    </row>
    <row r="360" spans="1:17">
      <c r="A360" s="153"/>
      <c r="B360" s="148" t="str">
        <f t="shared" si="30"/>
        <v/>
      </c>
      <c r="C360" s="153"/>
      <c r="D360" s="148" t="str">
        <f t="shared" si="29"/>
        <v/>
      </c>
      <c r="E360" s="159"/>
      <c r="F360" s="148" t="str">
        <f t="shared" si="31"/>
        <v/>
      </c>
      <c r="G360" s="156"/>
      <c r="H360" s="156"/>
      <c r="I360" s="156"/>
      <c r="J360" s="174"/>
      <c r="K360" s="173"/>
      <c r="L360" s="173"/>
      <c r="M360" s="174"/>
      <c r="N360" s="174"/>
      <c r="P360" s="144" t="str">
        <f t="shared" si="32"/>
        <v/>
      </c>
      <c r="Q360" s="144" t="str">
        <f t="shared" si="33"/>
        <v/>
      </c>
    </row>
    <row r="361" spans="1:17">
      <c r="A361" s="153"/>
      <c r="B361" s="148" t="str">
        <f t="shared" si="30"/>
        <v/>
      </c>
      <c r="C361" s="153"/>
      <c r="D361" s="148" t="str">
        <f t="shared" si="29"/>
        <v/>
      </c>
      <c r="E361" s="159"/>
      <c r="F361" s="148" t="str">
        <f t="shared" si="31"/>
        <v/>
      </c>
      <c r="G361" s="156"/>
      <c r="H361" s="156"/>
      <c r="I361" s="156"/>
      <c r="J361" s="174"/>
      <c r="K361" s="173"/>
      <c r="L361" s="173"/>
      <c r="M361" s="174"/>
      <c r="N361" s="174"/>
      <c r="P361" s="144" t="str">
        <f t="shared" si="32"/>
        <v/>
      </c>
      <c r="Q361" s="144" t="str">
        <f t="shared" si="33"/>
        <v/>
      </c>
    </row>
    <row r="362" spans="1:17">
      <c r="A362" s="153"/>
      <c r="B362" s="148" t="str">
        <f t="shared" si="30"/>
        <v/>
      </c>
      <c r="C362" s="153"/>
      <c r="D362" s="148" t="str">
        <f t="shared" si="29"/>
        <v/>
      </c>
      <c r="E362" s="159"/>
      <c r="F362" s="148" t="str">
        <f t="shared" si="31"/>
        <v/>
      </c>
      <c r="G362" s="156"/>
      <c r="H362" s="156"/>
      <c r="I362" s="156"/>
      <c r="J362" s="174"/>
      <c r="K362" s="173"/>
      <c r="L362" s="173"/>
      <c r="M362" s="174"/>
      <c r="N362" s="174"/>
      <c r="P362" s="144" t="str">
        <f t="shared" si="32"/>
        <v/>
      </c>
      <c r="Q362" s="144" t="str">
        <f t="shared" si="33"/>
        <v/>
      </c>
    </row>
    <row r="363" spans="1:17">
      <c r="A363" s="153"/>
      <c r="B363" s="148" t="str">
        <f t="shared" si="30"/>
        <v/>
      </c>
      <c r="C363" s="153"/>
      <c r="D363" s="148" t="str">
        <f t="shared" si="29"/>
        <v/>
      </c>
      <c r="E363" s="159"/>
      <c r="F363" s="148" t="str">
        <f t="shared" si="31"/>
        <v/>
      </c>
      <c r="G363" s="156"/>
      <c r="H363" s="156"/>
      <c r="I363" s="156"/>
      <c r="J363" s="174"/>
      <c r="K363" s="173"/>
      <c r="L363" s="173"/>
      <c r="M363" s="174"/>
      <c r="N363" s="174"/>
      <c r="P363" s="144" t="str">
        <f t="shared" si="32"/>
        <v/>
      </c>
      <c r="Q363" s="144" t="str">
        <f t="shared" si="33"/>
        <v/>
      </c>
    </row>
    <row r="364" spans="1:17">
      <c r="A364" s="153"/>
      <c r="B364" s="148" t="str">
        <f t="shared" si="30"/>
        <v/>
      </c>
      <c r="C364" s="153"/>
      <c r="D364" s="148" t="str">
        <f t="shared" si="29"/>
        <v/>
      </c>
      <c r="E364" s="159"/>
      <c r="F364" s="148" t="str">
        <f t="shared" si="31"/>
        <v/>
      </c>
      <c r="G364" s="156"/>
      <c r="H364" s="156"/>
      <c r="I364" s="156"/>
      <c r="J364" s="174"/>
      <c r="K364" s="173"/>
      <c r="L364" s="173"/>
      <c r="M364" s="174"/>
      <c r="N364" s="174"/>
      <c r="P364" s="144" t="str">
        <f t="shared" si="32"/>
        <v/>
      </c>
      <c r="Q364" s="144" t="str">
        <f t="shared" si="33"/>
        <v/>
      </c>
    </row>
    <row r="365" spans="1:17">
      <c r="A365" s="153"/>
      <c r="B365" s="148" t="str">
        <f t="shared" si="30"/>
        <v/>
      </c>
      <c r="C365" s="153"/>
      <c r="D365" s="148" t="str">
        <f t="shared" si="29"/>
        <v/>
      </c>
      <c r="E365" s="159"/>
      <c r="F365" s="148" t="str">
        <f t="shared" si="31"/>
        <v/>
      </c>
      <c r="G365" s="156"/>
      <c r="H365" s="156"/>
      <c r="I365" s="156"/>
      <c r="J365" s="174"/>
      <c r="K365" s="173"/>
      <c r="L365" s="173"/>
      <c r="M365" s="174"/>
      <c r="N365" s="174"/>
      <c r="P365" s="144" t="str">
        <f t="shared" si="32"/>
        <v/>
      </c>
      <c r="Q365" s="144" t="str">
        <f t="shared" si="33"/>
        <v/>
      </c>
    </row>
    <row r="366" spans="1:17">
      <c r="A366" s="153"/>
      <c r="B366" s="148" t="str">
        <f t="shared" si="30"/>
        <v/>
      </c>
      <c r="C366" s="153"/>
      <c r="D366" s="148" t="str">
        <f t="shared" si="29"/>
        <v/>
      </c>
      <c r="E366" s="159"/>
      <c r="F366" s="148" t="str">
        <f t="shared" si="31"/>
        <v/>
      </c>
      <c r="G366" s="156"/>
      <c r="H366" s="156"/>
      <c r="I366" s="156"/>
      <c r="J366" s="174"/>
      <c r="K366" s="173"/>
      <c r="L366" s="173"/>
      <c r="M366" s="174"/>
      <c r="N366" s="174"/>
      <c r="P366" s="144" t="str">
        <f t="shared" si="32"/>
        <v/>
      </c>
      <c r="Q366" s="144" t="str">
        <f t="shared" si="33"/>
        <v/>
      </c>
    </row>
    <row r="367" spans="1:17">
      <c r="A367" s="153"/>
      <c r="B367" s="148" t="str">
        <f t="shared" si="30"/>
        <v/>
      </c>
      <c r="C367" s="153"/>
      <c r="D367" s="148" t="str">
        <f t="shared" si="29"/>
        <v/>
      </c>
      <c r="E367" s="159"/>
      <c r="F367" s="148" t="str">
        <f t="shared" si="31"/>
        <v/>
      </c>
      <c r="G367" s="156"/>
      <c r="H367" s="156"/>
      <c r="I367" s="156"/>
      <c r="J367" s="174"/>
      <c r="K367" s="173"/>
      <c r="L367" s="173"/>
      <c r="M367" s="174"/>
      <c r="N367" s="174"/>
      <c r="P367" s="144" t="str">
        <f t="shared" si="32"/>
        <v/>
      </c>
      <c r="Q367" s="144" t="str">
        <f t="shared" si="33"/>
        <v/>
      </c>
    </row>
    <row r="368" spans="1:17">
      <c r="A368" s="153"/>
      <c r="B368" s="148" t="str">
        <f t="shared" si="30"/>
        <v/>
      </c>
      <c r="C368" s="153"/>
      <c r="D368" s="148" t="str">
        <f t="shared" si="29"/>
        <v/>
      </c>
      <c r="E368" s="159"/>
      <c r="F368" s="148" t="str">
        <f t="shared" si="31"/>
        <v/>
      </c>
      <c r="G368" s="156"/>
      <c r="H368" s="156"/>
      <c r="I368" s="156"/>
      <c r="J368" s="174"/>
      <c r="K368" s="173"/>
      <c r="L368" s="173"/>
      <c r="M368" s="174"/>
      <c r="N368" s="174"/>
      <c r="P368" s="144" t="str">
        <f t="shared" si="32"/>
        <v/>
      </c>
      <c r="Q368" s="144" t="str">
        <f t="shared" si="33"/>
        <v/>
      </c>
    </row>
    <row r="369" spans="1:17">
      <c r="A369" s="153"/>
      <c r="B369" s="148" t="str">
        <f t="shared" si="30"/>
        <v/>
      </c>
      <c r="C369" s="153"/>
      <c r="D369" s="148" t="str">
        <f t="shared" si="29"/>
        <v/>
      </c>
      <c r="E369" s="159"/>
      <c r="F369" s="148" t="str">
        <f t="shared" si="31"/>
        <v/>
      </c>
      <c r="G369" s="156"/>
      <c r="H369" s="156"/>
      <c r="I369" s="156"/>
      <c r="J369" s="174"/>
      <c r="K369" s="173"/>
      <c r="L369" s="173"/>
      <c r="M369" s="174"/>
      <c r="N369" s="174"/>
      <c r="P369" s="144" t="str">
        <f t="shared" si="32"/>
        <v/>
      </c>
      <c r="Q369" s="144" t="str">
        <f t="shared" si="33"/>
        <v/>
      </c>
    </row>
    <row r="370" spans="1:17">
      <c r="A370" s="153"/>
      <c r="B370" s="148" t="str">
        <f t="shared" si="30"/>
        <v/>
      </c>
      <c r="C370" s="153"/>
      <c r="D370" s="148" t="str">
        <f t="shared" si="29"/>
        <v/>
      </c>
      <c r="E370" s="159"/>
      <c r="F370" s="148" t="str">
        <f t="shared" si="31"/>
        <v/>
      </c>
      <c r="G370" s="156"/>
      <c r="H370" s="156"/>
      <c r="I370" s="156"/>
      <c r="J370" s="174"/>
      <c r="K370" s="173"/>
      <c r="L370" s="173"/>
      <c r="M370" s="174"/>
      <c r="N370" s="174"/>
      <c r="P370" s="144" t="str">
        <f t="shared" si="32"/>
        <v/>
      </c>
      <c r="Q370" s="144" t="str">
        <f t="shared" si="33"/>
        <v/>
      </c>
    </row>
    <row r="371" spans="1:17">
      <c r="A371" s="153"/>
      <c r="B371" s="148" t="str">
        <f t="shared" si="30"/>
        <v/>
      </c>
      <c r="C371" s="153"/>
      <c r="D371" s="148" t="str">
        <f t="shared" si="29"/>
        <v/>
      </c>
      <c r="E371" s="159"/>
      <c r="F371" s="148" t="str">
        <f t="shared" si="31"/>
        <v/>
      </c>
      <c r="G371" s="156"/>
      <c r="H371" s="156"/>
      <c r="I371" s="156"/>
      <c r="J371" s="174"/>
      <c r="K371" s="173"/>
      <c r="L371" s="173"/>
      <c r="M371" s="174"/>
      <c r="N371" s="174"/>
      <c r="P371" s="144" t="str">
        <f t="shared" si="32"/>
        <v/>
      </c>
      <c r="Q371" s="144" t="str">
        <f t="shared" si="33"/>
        <v/>
      </c>
    </row>
    <row r="372" spans="1:17">
      <c r="A372" s="153"/>
      <c r="B372" s="148" t="str">
        <f t="shared" si="30"/>
        <v/>
      </c>
      <c r="C372" s="153"/>
      <c r="D372" s="148" t="str">
        <f t="shared" si="29"/>
        <v/>
      </c>
      <c r="E372" s="159"/>
      <c r="F372" s="148" t="str">
        <f t="shared" si="31"/>
        <v/>
      </c>
      <c r="G372" s="156"/>
      <c r="H372" s="156"/>
      <c r="I372" s="156"/>
      <c r="J372" s="174"/>
      <c r="K372" s="173"/>
      <c r="L372" s="173"/>
      <c r="M372" s="174"/>
      <c r="N372" s="174"/>
      <c r="P372" s="144" t="str">
        <f t="shared" si="32"/>
        <v/>
      </c>
      <c r="Q372" s="144" t="str">
        <f t="shared" si="33"/>
        <v/>
      </c>
    </row>
    <row r="373" spans="1:17">
      <c r="A373" s="153"/>
      <c r="B373" s="148" t="str">
        <f t="shared" si="30"/>
        <v/>
      </c>
      <c r="C373" s="153"/>
      <c r="D373" s="148" t="str">
        <f t="shared" si="29"/>
        <v/>
      </c>
      <c r="E373" s="159"/>
      <c r="F373" s="148" t="str">
        <f t="shared" si="31"/>
        <v/>
      </c>
      <c r="G373" s="156"/>
      <c r="H373" s="156"/>
      <c r="I373" s="156"/>
      <c r="J373" s="174"/>
      <c r="K373" s="173"/>
      <c r="L373" s="173"/>
      <c r="M373" s="174"/>
      <c r="N373" s="174"/>
      <c r="P373" s="144" t="str">
        <f t="shared" si="32"/>
        <v/>
      </c>
      <c r="Q373" s="144" t="str">
        <f t="shared" si="33"/>
        <v/>
      </c>
    </row>
    <row r="374" spans="1:17">
      <c r="A374" s="153"/>
      <c r="B374" s="148" t="str">
        <f t="shared" si="30"/>
        <v/>
      </c>
      <c r="C374" s="153"/>
      <c r="D374" s="148" t="str">
        <f t="shared" si="29"/>
        <v/>
      </c>
      <c r="E374" s="159"/>
      <c r="F374" s="148" t="str">
        <f t="shared" si="31"/>
        <v/>
      </c>
      <c r="G374" s="156"/>
      <c r="H374" s="156"/>
      <c r="I374" s="156"/>
      <c r="J374" s="174"/>
      <c r="K374" s="173"/>
      <c r="L374" s="173"/>
      <c r="M374" s="174"/>
      <c r="N374" s="174"/>
      <c r="P374" s="144" t="str">
        <f t="shared" si="32"/>
        <v/>
      </c>
      <c r="Q374" s="144" t="str">
        <f t="shared" si="33"/>
        <v/>
      </c>
    </row>
    <row r="375" spans="1:17">
      <c r="A375" s="153"/>
      <c r="B375" s="148" t="str">
        <f t="shared" si="30"/>
        <v/>
      </c>
      <c r="C375" s="153"/>
      <c r="D375" s="148" t="str">
        <f t="shared" si="29"/>
        <v/>
      </c>
      <c r="E375" s="159"/>
      <c r="F375" s="148" t="str">
        <f t="shared" si="31"/>
        <v/>
      </c>
      <c r="G375" s="156"/>
      <c r="H375" s="156"/>
      <c r="I375" s="156"/>
      <c r="J375" s="174"/>
      <c r="K375" s="173"/>
      <c r="L375" s="173"/>
      <c r="M375" s="174"/>
      <c r="N375" s="174"/>
      <c r="P375" s="144" t="str">
        <f t="shared" si="32"/>
        <v/>
      </c>
      <c r="Q375" s="144" t="str">
        <f t="shared" si="33"/>
        <v/>
      </c>
    </row>
    <row r="376" spans="1:17">
      <c r="A376" s="153"/>
      <c r="B376" s="148" t="str">
        <f t="shared" si="30"/>
        <v/>
      </c>
      <c r="C376" s="153"/>
      <c r="D376" s="148" t="str">
        <f t="shared" si="29"/>
        <v/>
      </c>
      <c r="E376" s="159"/>
      <c r="F376" s="148" t="str">
        <f t="shared" si="31"/>
        <v/>
      </c>
      <c r="G376" s="156"/>
      <c r="H376" s="156"/>
      <c r="I376" s="156"/>
      <c r="J376" s="174"/>
      <c r="K376" s="173"/>
      <c r="L376" s="173"/>
      <c r="M376" s="174"/>
      <c r="N376" s="174"/>
      <c r="P376" s="144" t="str">
        <f t="shared" si="32"/>
        <v/>
      </c>
      <c r="Q376" s="144" t="str">
        <f t="shared" si="33"/>
        <v/>
      </c>
    </row>
    <row r="377" spans="1:17">
      <c r="A377" s="153"/>
      <c r="B377" s="148" t="str">
        <f t="shared" si="30"/>
        <v/>
      </c>
      <c r="C377" s="153"/>
      <c r="D377" s="148" t="str">
        <f t="shared" si="29"/>
        <v/>
      </c>
      <c r="E377" s="159"/>
      <c r="F377" s="148" t="str">
        <f t="shared" si="31"/>
        <v/>
      </c>
      <c r="G377" s="156"/>
      <c r="H377" s="156"/>
      <c r="I377" s="156"/>
      <c r="J377" s="174"/>
      <c r="K377" s="173"/>
      <c r="L377" s="173"/>
      <c r="M377" s="174"/>
      <c r="N377" s="174"/>
      <c r="P377" s="144" t="str">
        <f t="shared" si="32"/>
        <v/>
      </c>
      <c r="Q377" s="144" t="str">
        <f t="shared" si="33"/>
        <v/>
      </c>
    </row>
    <row r="378" spans="1:17">
      <c r="A378" s="153"/>
      <c r="B378" s="148" t="str">
        <f t="shared" si="30"/>
        <v/>
      </c>
      <c r="C378" s="153"/>
      <c r="D378" s="148" t="str">
        <f t="shared" si="29"/>
        <v/>
      </c>
      <c r="E378" s="159"/>
      <c r="F378" s="148" t="str">
        <f t="shared" si="31"/>
        <v/>
      </c>
      <c r="G378" s="156"/>
      <c r="H378" s="156"/>
      <c r="I378" s="156"/>
      <c r="J378" s="174"/>
      <c r="K378" s="173"/>
      <c r="L378" s="173"/>
      <c r="M378" s="174"/>
      <c r="N378" s="174"/>
      <c r="P378" s="144" t="str">
        <f t="shared" si="32"/>
        <v/>
      </c>
      <c r="Q378" s="144" t="str">
        <f t="shared" si="33"/>
        <v/>
      </c>
    </row>
    <row r="379" spans="1:17">
      <c r="A379" s="153"/>
      <c r="B379" s="148" t="str">
        <f t="shared" si="30"/>
        <v/>
      </c>
      <c r="C379" s="153"/>
      <c r="D379" s="148" t="str">
        <f t="shared" si="29"/>
        <v/>
      </c>
      <c r="E379" s="159"/>
      <c r="F379" s="148" t="str">
        <f t="shared" si="31"/>
        <v/>
      </c>
      <c r="G379" s="156"/>
      <c r="H379" s="156"/>
      <c r="I379" s="156"/>
      <c r="J379" s="174"/>
      <c r="K379" s="173"/>
      <c r="L379" s="173"/>
      <c r="M379" s="174"/>
      <c r="N379" s="174"/>
      <c r="P379" s="144" t="str">
        <f t="shared" si="32"/>
        <v/>
      </c>
      <c r="Q379" s="144" t="str">
        <f t="shared" si="33"/>
        <v/>
      </c>
    </row>
    <row r="380" spans="1:17">
      <c r="A380" s="153"/>
      <c r="B380" s="148" t="str">
        <f t="shared" si="30"/>
        <v/>
      </c>
      <c r="C380" s="153"/>
      <c r="D380" s="148" t="str">
        <f t="shared" si="29"/>
        <v/>
      </c>
      <c r="E380" s="159"/>
      <c r="F380" s="148" t="str">
        <f t="shared" si="31"/>
        <v/>
      </c>
      <c r="G380" s="156"/>
      <c r="H380" s="156"/>
      <c r="I380" s="156"/>
      <c r="J380" s="174"/>
      <c r="K380" s="173"/>
      <c r="L380" s="173"/>
      <c r="M380" s="174"/>
      <c r="N380" s="174"/>
      <c r="P380" s="144" t="str">
        <f t="shared" si="32"/>
        <v/>
      </c>
      <c r="Q380" s="144" t="str">
        <f t="shared" si="33"/>
        <v/>
      </c>
    </row>
    <row r="381" spans="1:17">
      <c r="A381" s="153"/>
      <c r="B381" s="148" t="str">
        <f t="shared" si="30"/>
        <v/>
      </c>
      <c r="C381" s="153"/>
      <c r="D381" s="148" t="str">
        <f t="shared" si="29"/>
        <v/>
      </c>
      <c r="E381" s="159"/>
      <c r="F381" s="148" t="str">
        <f t="shared" si="31"/>
        <v/>
      </c>
      <c r="G381" s="156"/>
      <c r="H381" s="156"/>
      <c r="I381" s="156"/>
      <c r="J381" s="174"/>
      <c r="K381" s="173"/>
      <c r="L381" s="173"/>
      <c r="M381" s="174"/>
      <c r="N381" s="174"/>
      <c r="P381" s="144" t="str">
        <f t="shared" si="32"/>
        <v/>
      </c>
      <c r="Q381" s="144" t="str">
        <f t="shared" si="33"/>
        <v/>
      </c>
    </row>
    <row r="382" spans="1:17">
      <c r="A382" s="153"/>
      <c r="B382" s="148" t="str">
        <f t="shared" si="30"/>
        <v/>
      </c>
      <c r="C382" s="153"/>
      <c r="D382" s="148" t="str">
        <f t="shared" si="29"/>
        <v/>
      </c>
      <c r="E382" s="159"/>
      <c r="F382" s="148" t="str">
        <f t="shared" si="31"/>
        <v/>
      </c>
      <c r="G382" s="156"/>
      <c r="H382" s="156"/>
      <c r="I382" s="156"/>
      <c r="J382" s="174"/>
      <c r="K382" s="173"/>
      <c r="L382" s="173"/>
      <c r="M382" s="174"/>
      <c r="N382" s="174"/>
      <c r="P382" s="144" t="str">
        <f t="shared" si="32"/>
        <v/>
      </c>
      <c r="Q382" s="144" t="str">
        <f t="shared" si="33"/>
        <v/>
      </c>
    </row>
    <row r="383" spans="1:17">
      <c r="A383" s="153"/>
      <c r="B383" s="148" t="str">
        <f t="shared" si="30"/>
        <v/>
      </c>
      <c r="C383" s="153"/>
      <c r="D383" s="148" t="str">
        <f t="shared" si="29"/>
        <v/>
      </c>
      <c r="E383" s="159"/>
      <c r="F383" s="148" t="str">
        <f t="shared" si="31"/>
        <v/>
      </c>
      <c r="G383" s="156"/>
      <c r="H383" s="156"/>
      <c r="I383" s="156"/>
      <c r="J383" s="174"/>
      <c r="K383" s="173"/>
      <c r="L383" s="173"/>
      <c r="M383" s="174"/>
      <c r="N383" s="174"/>
      <c r="P383" s="144" t="str">
        <f t="shared" si="32"/>
        <v/>
      </c>
      <c r="Q383" s="144" t="str">
        <f t="shared" si="33"/>
        <v/>
      </c>
    </row>
    <row r="384" spans="1:17">
      <c r="A384" s="153"/>
      <c r="B384" s="148" t="str">
        <f t="shared" si="30"/>
        <v/>
      </c>
      <c r="C384" s="153"/>
      <c r="D384" s="148" t="str">
        <f t="shared" si="29"/>
        <v/>
      </c>
      <c r="E384" s="159"/>
      <c r="F384" s="148" t="str">
        <f t="shared" si="31"/>
        <v/>
      </c>
      <c r="G384" s="156"/>
      <c r="H384" s="156"/>
      <c r="I384" s="156"/>
      <c r="J384" s="174"/>
      <c r="K384" s="173"/>
      <c r="L384" s="173"/>
      <c r="M384" s="174"/>
      <c r="N384" s="174"/>
      <c r="P384" s="144" t="str">
        <f t="shared" si="32"/>
        <v/>
      </c>
      <c r="Q384" s="144" t="str">
        <f t="shared" si="33"/>
        <v/>
      </c>
    </row>
    <row r="385" spans="1:17">
      <c r="A385" s="153"/>
      <c r="B385" s="148" t="str">
        <f t="shared" si="30"/>
        <v/>
      </c>
      <c r="C385" s="153"/>
      <c r="D385" s="148" t="str">
        <f t="shared" si="29"/>
        <v/>
      </c>
      <c r="E385" s="159"/>
      <c r="F385" s="148" t="str">
        <f t="shared" si="31"/>
        <v/>
      </c>
      <c r="G385" s="156"/>
      <c r="H385" s="156"/>
      <c r="I385" s="156"/>
      <c r="J385" s="174"/>
      <c r="K385" s="173"/>
      <c r="L385" s="173"/>
      <c r="M385" s="174"/>
      <c r="N385" s="174"/>
      <c r="P385" s="144" t="str">
        <f t="shared" si="32"/>
        <v/>
      </c>
      <c r="Q385" s="144" t="str">
        <f t="shared" si="33"/>
        <v/>
      </c>
    </row>
    <row r="386" spans="1:17">
      <c r="A386" s="153"/>
      <c r="B386" s="148" t="str">
        <f t="shared" si="30"/>
        <v/>
      </c>
      <c r="C386" s="153"/>
      <c r="D386" s="148" t="str">
        <f t="shared" si="29"/>
        <v/>
      </c>
      <c r="E386" s="159"/>
      <c r="F386" s="148" t="str">
        <f t="shared" si="31"/>
        <v/>
      </c>
      <c r="G386" s="156"/>
      <c r="H386" s="156"/>
      <c r="I386" s="156"/>
      <c r="J386" s="174"/>
      <c r="K386" s="173"/>
      <c r="L386" s="173"/>
      <c r="M386" s="174"/>
      <c r="N386" s="174"/>
      <c r="P386" s="144" t="str">
        <f t="shared" si="32"/>
        <v/>
      </c>
      <c r="Q386" s="144" t="str">
        <f t="shared" si="33"/>
        <v/>
      </c>
    </row>
    <row r="387" spans="1:17">
      <c r="A387" s="153"/>
      <c r="B387" s="148" t="str">
        <f t="shared" si="30"/>
        <v/>
      </c>
      <c r="C387" s="153"/>
      <c r="D387" s="148" t="str">
        <f t="shared" ref="D387:D450" si="34">IFERROR(VLOOKUP(C387,$U$5:$W$129,2,FALSE),"")</f>
        <v/>
      </c>
      <c r="E387" s="159"/>
      <c r="F387" s="148" t="str">
        <f t="shared" si="31"/>
        <v/>
      </c>
      <c r="G387" s="156"/>
      <c r="H387" s="156"/>
      <c r="I387" s="156"/>
      <c r="J387" s="174"/>
      <c r="K387" s="173"/>
      <c r="L387" s="173"/>
      <c r="M387" s="174"/>
      <c r="N387" s="174"/>
      <c r="P387" s="144" t="str">
        <f t="shared" si="32"/>
        <v/>
      </c>
      <c r="Q387" s="144" t="str">
        <f t="shared" si="33"/>
        <v/>
      </c>
    </row>
    <row r="388" spans="1:17">
      <c r="A388" s="153"/>
      <c r="B388" s="148" t="str">
        <f t="shared" ref="B388:B451" si="35">IFERROR(VLOOKUP(A388,$R$6:$S$16,2,FALSE),"")</f>
        <v/>
      </c>
      <c r="C388" s="153"/>
      <c r="D388" s="148" t="str">
        <f t="shared" si="34"/>
        <v/>
      </c>
      <c r="E388" s="159"/>
      <c r="F388" s="148" t="str">
        <f t="shared" ref="F388:F451" si="36">IFERROR(VLOOKUP(E388,$AA$6:$AB$200,2,FALSE),"")</f>
        <v/>
      </c>
      <c r="G388" s="156"/>
      <c r="H388" s="156"/>
      <c r="I388" s="156"/>
      <c r="J388" s="174"/>
      <c r="K388" s="173"/>
      <c r="L388" s="173"/>
      <c r="M388" s="174"/>
      <c r="N388" s="174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3"/>
      <c r="B389" s="148" t="str">
        <f t="shared" si="35"/>
        <v/>
      </c>
      <c r="C389" s="153"/>
      <c r="D389" s="148" t="str">
        <f t="shared" si="34"/>
        <v/>
      </c>
      <c r="E389" s="159"/>
      <c r="F389" s="148" t="str">
        <f t="shared" si="36"/>
        <v/>
      </c>
      <c r="G389" s="156"/>
      <c r="H389" s="156"/>
      <c r="I389" s="156"/>
      <c r="J389" s="174"/>
      <c r="K389" s="173"/>
      <c r="L389" s="173"/>
      <c r="M389" s="174"/>
      <c r="N389" s="174"/>
      <c r="P389" s="144" t="str">
        <f t="shared" si="37"/>
        <v/>
      </c>
      <c r="Q389" s="144" t="str">
        <f t="shared" si="38"/>
        <v/>
      </c>
    </row>
    <row r="390" spans="1:17">
      <c r="A390" s="153"/>
      <c r="B390" s="148" t="str">
        <f t="shared" si="35"/>
        <v/>
      </c>
      <c r="C390" s="153"/>
      <c r="D390" s="148" t="str">
        <f t="shared" si="34"/>
        <v/>
      </c>
      <c r="E390" s="159"/>
      <c r="F390" s="148" t="str">
        <f t="shared" si="36"/>
        <v/>
      </c>
      <c r="G390" s="156"/>
      <c r="H390" s="156"/>
      <c r="I390" s="156"/>
      <c r="J390" s="174"/>
      <c r="K390" s="173"/>
      <c r="L390" s="173"/>
      <c r="M390" s="174"/>
      <c r="N390" s="174"/>
      <c r="P390" s="144" t="str">
        <f t="shared" si="37"/>
        <v/>
      </c>
      <c r="Q390" s="144" t="str">
        <f t="shared" si="38"/>
        <v/>
      </c>
    </row>
    <row r="391" spans="1:17">
      <c r="A391" s="153"/>
      <c r="B391" s="148" t="str">
        <f t="shared" si="35"/>
        <v/>
      </c>
      <c r="C391" s="153"/>
      <c r="D391" s="148" t="str">
        <f t="shared" si="34"/>
        <v/>
      </c>
      <c r="E391" s="159"/>
      <c r="F391" s="148" t="str">
        <f t="shared" si="36"/>
        <v/>
      </c>
      <c r="G391" s="156"/>
      <c r="H391" s="156"/>
      <c r="I391" s="156"/>
      <c r="J391" s="174"/>
      <c r="K391" s="173"/>
      <c r="L391" s="173"/>
      <c r="M391" s="174"/>
      <c r="N391" s="174"/>
      <c r="P391" s="144" t="str">
        <f t="shared" si="37"/>
        <v/>
      </c>
      <c r="Q391" s="144" t="str">
        <f t="shared" si="38"/>
        <v/>
      </c>
    </row>
    <row r="392" spans="1:17">
      <c r="A392" s="153"/>
      <c r="B392" s="148" t="str">
        <f t="shared" si="35"/>
        <v/>
      </c>
      <c r="C392" s="153"/>
      <c r="D392" s="148" t="str">
        <f t="shared" si="34"/>
        <v/>
      </c>
      <c r="E392" s="159"/>
      <c r="F392" s="148" t="str">
        <f t="shared" si="36"/>
        <v/>
      </c>
      <c r="G392" s="156"/>
      <c r="H392" s="156"/>
      <c r="I392" s="156"/>
      <c r="J392" s="174"/>
      <c r="K392" s="173"/>
      <c r="L392" s="173"/>
      <c r="M392" s="174"/>
      <c r="N392" s="174"/>
      <c r="P392" s="144" t="str">
        <f t="shared" si="37"/>
        <v/>
      </c>
      <c r="Q392" s="144" t="str">
        <f t="shared" si="38"/>
        <v/>
      </c>
    </row>
    <row r="393" spans="1:17">
      <c r="A393" s="153"/>
      <c r="B393" s="148" t="str">
        <f t="shared" si="35"/>
        <v/>
      </c>
      <c r="C393" s="153"/>
      <c r="D393" s="148" t="str">
        <f t="shared" si="34"/>
        <v/>
      </c>
      <c r="E393" s="159"/>
      <c r="F393" s="148" t="str">
        <f t="shared" si="36"/>
        <v/>
      </c>
      <c r="G393" s="156"/>
      <c r="H393" s="156"/>
      <c r="I393" s="156"/>
      <c r="J393" s="174"/>
      <c r="K393" s="173"/>
      <c r="L393" s="173"/>
      <c r="M393" s="174"/>
      <c r="N393" s="174"/>
      <c r="P393" s="144" t="str">
        <f t="shared" si="37"/>
        <v/>
      </c>
      <c r="Q393" s="144" t="str">
        <f t="shared" si="38"/>
        <v/>
      </c>
    </row>
    <row r="394" spans="1:17">
      <c r="A394" s="153"/>
      <c r="B394" s="148" t="str">
        <f t="shared" si="35"/>
        <v/>
      </c>
      <c r="C394" s="153"/>
      <c r="D394" s="148" t="str">
        <f t="shared" si="34"/>
        <v/>
      </c>
      <c r="E394" s="159"/>
      <c r="F394" s="148" t="str">
        <f t="shared" si="36"/>
        <v/>
      </c>
      <c r="G394" s="156"/>
      <c r="H394" s="156"/>
      <c r="I394" s="156"/>
      <c r="J394" s="174"/>
      <c r="K394" s="173"/>
      <c r="L394" s="173"/>
      <c r="M394" s="174"/>
      <c r="N394" s="174"/>
      <c r="P394" s="144" t="str">
        <f t="shared" si="37"/>
        <v/>
      </c>
      <c r="Q394" s="144" t="str">
        <f t="shared" si="38"/>
        <v/>
      </c>
    </row>
    <row r="395" spans="1:17">
      <c r="A395" s="153"/>
      <c r="B395" s="148" t="str">
        <f t="shared" si="35"/>
        <v/>
      </c>
      <c r="C395" s="153"/>
      <c r="D395" s="148" t="str">
        <f t="shared" si="34"/>
        <v/>
      </c>
      <c r="E395" s="159"/>
      <c r="F395" s="148" t="str">
        <f t="shared" si="36"/>
        <v/>
      </c>
      <c r="G395" s="156"/>
      <c r="H395" s="156"/>
      <c r="I395" s="156"/>
      <c r="J395" s="174"/>
      <c r="K395" s="173"/>
      <c r="L395" s="173"/>
      <c r="M395" s="174"/>
      <c r="N395" s="174"/>
      <c r="P395" s="144" t="str">
        <f t="shared" si="37"/>
        <v/>
      </c>
      <c r="Q395" s="144" t="str">
        <f t="shared" si="38"/>
        <v/>
      </c>
    </row>
    <row r="396" spans="1:17">
      <c r="A396" s="153"/>
      <c r="B396" s="148" t="str">
        <f t="shared" si="35"/>
        <v/>
      </c>
      <c r="C396" s="153"/>
      <c r="D396" s="148" t="str">
        <f t="shared" si="34"/>
        <v/>
      </c>
      <c r="E396" s="159"/>
      <c r="F396" s="148" t="str">
        <f t="shared" si="36"/>
        <v/>
      </c>
      <c r="G396" s="156"/>
      <c r="H396" s="156"/>
      <c r="I396" s="156"/>
      <c r="J396" s="174"/>
      <c r="K396" s="173"/>
      <c r="L396" s="173"/>
      <c r="M396" s="174"/>
      <c r="N396" s="174"/>
      <c r="P396" s="144" t="str">
        <f t="shared" si="37"/>
        <v/>
      </c>
      <c r="Q396" s="144" t="str">
        <f t="shared" si="38"/>
        <v/>
      </c>
    </row>
    <row r="397" spans="1:17">
      <c r="A397" s="153"/>
      <c r="B397" s="148" t="str">
        <f t="shared" si="35"/>
        <v/>
      </c>
      <c r="C397" s="153"/>
      <c r="D397" s="148" t="str">
        <f t="shared" si="34"/>
        <v/>
      </c>
      <c r="E397" s="159"/>
      <c r="F397" s="148" t="str">
        <f t="shared" si="36"/>
        <v/>
      </c>
      <c r="G397" s="156"/>
      <c r="H397" s="156"/>
      <c r="I397" s="156"/>
      <c r="J397" s="174"/>
      <c r="K397" s="173"/>
      <c r="L397" s="173"/>
      <c r="M397" s="174"/>
      <c r="N397" s="174"/>
      <c r="P397" s="144" t="str">
        <f t="shared" si="37"/>
        <v/>
      </c>
      <c r="Q397" s="144" t="str">
        <f t="shared" si="38"/>
        <v/>
      </c>
    </row>
    <row r="398" spans="1:17">
      <c r="A398" s="153"/>
      <c r="B398" s="148" t="str">
        <f t="shared" si="35"/>
        <v/>
      </c>
      <c r="C398" s="153"/>
      <c r="D398" s="148" t="str">
        <f t="shared" si="34"/>
        <v/>
      </c>
      <c r="E398" s="159"/>
      <c r="F398" s="148" t="str">
        <f t="shared" si="36"/>
        <v/>
      </c>
      <c r="G398" s="156"/>
      <c r="H398" s="156"/>
      <c r="I398" s="156"/>
      <c r="J398" s="174"/>
      <c r="K398" s="173"/>
      <c r="L398" s="173"/>
      <c r="M398" s="174"/>
      <c r="N398" s="174"/>
      <c r="P398" s="144" t="str">
        <f t="shared" si="37"/>
        <v/>
      </c>
      <c r="Q398" s="144" t="str">
        <f t="shared" si="38"/>
        <v/>
      </c>
    </row>
    <row r="399" spans="1:17">
      <c r="A399" s="153"/>
      <c r="B399" s="148" t="str">
        <f t="shared" si="35"/>
        <v/>
      </c>
      <c r="C399" s="153"/>
      <c r="D399" s="148" t="str">
        <f t="shared" si="34"/>
        <v/>
      </c>
      <c r="E399" s="159"/>
      <c r="F399" s="148" t="str">
        <f t="shared" si="36"/>
        <v/>
      </c>
      <c r="G399" s="156"/>
      <c r="H399" s="156"/>
      <c r="I399" s="156"/>
      <c r="J399" s="174"/>
      <c r="K399" s="173"/>
      <c r="L399" s="173"/>
      <c r="M399" s="174"/>
      <c r="N399" s="174"/>
      <c r="P399" s="144" t="str">
        <f t="shared" si="37"/>
        <v/>
      </c>
      <c r="Q399" s="144" t="str">
        <f t="shared" si="38"/>
        <v/>
      </c>
    </row>
    <row r="400" spans="1:17">
      <c r="A400" s="153"/>
      <c r="B400" s="148" t="str">
        <f t="shared" si="35"/>
        <v/>
      </c>
      <c r="C400" s="153"/>
      <c r="D400" s="148" t="str">
        <f t="shared" si="34"/>
        <v/>
      </c>
      <c r="E400" s="159"/>
      <c r="F400" s="148" t="str">
        <f t="shared" si="36"/>
        <v/>
      </c>
      <c r="G400" s="156"/>
      <c r="H400" s="156"/>
      <c r="I400" s="156"/>
      <c r="J400" s="174"/>
      <c r="K400" s="173"/>
      <c r="L400" s="173"/>
      <c r="M400" s="174"/>
      <c r="N400" s="174"/>
      <c r="P400" s="144" t="str">
        <f t="shared" si="37"/>
        <v/>
      </c>
      <c r="Q400" s="144" t="str">
        <f t="shared" si="38"/>
        <v/>
      </c>
    </row>
    <row r="401" spans="1:17">
      <c r="A401" s="153"/>
      <c r="B401" s="148" t="str">
        <f t="shared" si="35"/>
        <v/>
      </c>
      <c r="C401" s="153"/>
      <c r="D401" s="148" t="str">
        <f t="shared" si="34"/>
        <v/>
      </c>
      <c r="E401" s="159"/>
      <c r="F401" s="148" t="str">
        <f t="shared" si="36"/>
        <v/>
      </c>
      <c r="G401" s="156"/>
      <c r="H401" s="156"/>
      <c r="I401" s="156"/>
      <c r="J401" s="174"/>
      <c r="K401" s="173"/>
      <c r="L401" s="173"/>
      <c r="M401" s="174"/>
      <c r="N401" s="174"/>
      <c r="P401" s="144" t="str">
        <f t="shared" si="37"/>
        <v/>
      </c>
      <c r="Q401" s="144" t="str">
        <f t="shared" si="38"/>
        <v/>
      </c>
    </row>
    <row r="402" spans="1:17">
      <c r="A402" s="153"/>
      <c r="B402" s="148" t="str">
        <f t="shared" si="35"/>
        <v/>
      </c>
      <c r="C402" s="153"/>
      <c r="D402" s="148" t="str">
        <f t="shared" si="34"/>
        <v/>
      </c>
      <c r="E402" s="159"/>
      <c r="F402" s="148" t="str">
        <f t="shared" si="36"/>
        <v/>
      </c>
      <c r="G402" s="156"/>
      <c r="H402" s="156"/>
      <c r="I402" s="156"/>
      <c r="J402" s="174"/>
      <c r="K402" s="173"/>
      <c r="L402" s="173"/>
      <c r="M402" s="174"/>
      <c r="N402" s="174"/>
      <c r="P402" s="144" t="str">
        <f t="shared" si="37"/>
        <v/>
      </c>
      <c r="Q402" s="144" t="str">
        <f t="shared" si="38"/>
        <v/>
      </c>
    </row>
    <row r="403" spans="1:17">
      <c r="A403" s="153"/>
      <c r="B403" s="148" t="str">
        <f t="shared" si="35"/>
        <v/>
      </c>
      <c r="C403" s="153"/>
      <c r="D403" s="148" t="str">
        <f t="shared" si="34"/>
        <v/>
      </c>
      <c r="E403" s="159"/>
      <c r="F403" s="148" t="str">
        <f t="shared" si="36"/>
        <v/>
      </c>
      <c r="G403" s="156"/>
      <c r="H403" s="156"/>
      <c r="I403" s="156"/>
      <c r="J403" s="174"/>
      <c r="K403" s="173"/>
      <c r="L403" s="173"/>
      <c r="M403" s="174"/>
      <c r="N403" s="174"/>
      <c r="P403" s="144" t="str">
        <f t="shared" si="37"/>
        <v/>
      </c>
      <c r="Q403" s="144" t="str">
        <f t="shared" si="38"/>
        <v/>
      </c>
    </row>
    <row r="404" spans="1:17">
      <c r="A404" s="153"/>
      <c r="B404" s="148" t="str">
        <f t="shared" si="35"/>
        <v/>
      </c>
      <c r="C404" s="153"/>
      <c r="D404" s="148" t="str">
        <f t="shared" si="34"/>
        <v/>
      </c>
      <c r="E404" s="159"/>
      <c r="F404" s="148" t="str">
        <f t="shared" si="36"/>
        <v/>
      </c>
      <c r="G404" s="156"/>
      <c r="H404" s="156"/>
      <c r="I404" s="156"/>
      <c r="J404" s="174"/>
      <c r="K404" s="173"/>
      <c r="L404" s="173"/>
      <c r="M404" s="174"/>
      <c r="N404" s="174"/>
      <c r="P404" s="144" t="str">
        <f t="shared" si="37"/>
        <v/>
      </c>
      <c r="Q404" s="144" t="str">
        <f t="shared" si="38"/>
        <v/>
      </c>
    </row>
    <row r="405" spans="1:17">
      <c r="A405" s="153"/>
      <c r="B405" s="148" t="str">
        <f t="shared" si="35"/>
        <v/>
      </c>
      <c r="C405" s="153"/>
      <c r="D405" s="148" t="str">
        <f t="shared" si="34"/>
        <v/>
      </c>
      <c r="E405" s="159"/>
      <c r="F405" s="148" t="str">
        <f t="shared" si="36"/>
        <v/>
      </c>
      <c r="G405" s="156"/>
      <c r="H405" s="156"/>
      <c r="I405" s="156"/>
      <c r="J405" s="174"/>
      <c r="K405" s="173"/>
      <c r="L405" s="173"/>
      <c r="M405" s="174"/>
      <c r="N405" s="174"/>
      <c r="P405" s="144" t="str">
        <f t="shared" si="37"/>
        <v/>
      </c>
      <c r="Q405" s="144" t="str">
        <f t="shared" si="38"/>
        <v/>
      </c>
    </row>
    <row r="406" spans="1:17">
      <c r="A406" s="153"/>
      <c r="B406" s="148" t="str">
        <f t="shared" si="35"/>
        <v/>
      </c>
      <c r="C406" s="153"/>
      <c r="D406" s="148" t="str">
        <f t="shared" si="34"/>
        <v/>
      </c>
      <c r="E406" s="159"/>
      <c r="F406" s="148" t="str">
        <f t="shared" si="36"/>
        <v/>
      </c>
      <c r="G406" s="156"/>
      <c r="H406" s="156"/>
      <c r="I406" s="156"/>
      <c r="J406" s="174"/>
      <c r="K406" s="173"/>
      <c r="L406" s="173"/>
      <c r="M406" s="174"/>
      <c r="N406" s="174"/>
      <c r="P406" s="144" t="str">
        <f t="shared" si="37"/>
        <v/>
      </c>
      <c r="Q406" s="144" t="str">
        <f t="shared" si="38"/>
        <v/>
      </c>
    </row>
    <row r="407" spans="1:17">
      <c r="A407" s="153"/>
      <c r="B407" s="148" t="str">
        <f t="shared" si="35"/>
        <v/>
      </c>
      <c r="C407" s="153"/>
      <c r="D407" s="148" t="str">
        <f t="shared" si="34"/>
        <v/>
      </c>
      <c r="E407" s="159"/>
      <c r="F407" s="148" t="str">
        <f t="shared" si="36"/>
        <v/>
      </c>
      <c r="G407" s="156"/>
      <c r="H407" s="156"/>
      <c r="I407" s="156"/>
      <c r="J407" s="174"/>
      <c r="K407" s="173"/>
      <c r="L407" s="173"/>
      <c r="M407" s="174"/>
      <c r="N407" s="174"/>
      <c r="P407" s="144" t="str">
        <f t="shared" si="37"/>
        <v/>
      </c>
      <c r="Q407" s="144" t="str">
        <f t="shared" si="38"/>
        <v/>
      </c>
    </row>
    <row r="408" spans="1:17">
      <c r="A408" s="153"/>
      <c r="B408" s="148" t="str">
        <f t="shared" si="35"/>
        <v/>
      </c>
      <c r="C408" s="153"/>
      <c r="D408" s="148" t="str">
        <f t="shared" si="34"/>
        <v/>
      </c>
      <c r="E408" s="159"/>
      <c r="F408" s="148" t="str">
        <f t="shared" si="36"/>
        <v/>
      </c>
      <c r="G408" s="156"/>
      <c r="H408" s="156"/>
      <c r="I408" s="156"/>
      <c r="J408" s="174"/>
      <c r="K408" s="173"/>
      <c r="L408" s="173"/>
      <c r="M408" s="174"/>
      <c r="N408" s="174"/>
      <c r="P408" s="144" t="str">
        <f t="shared" si="37"/>
        <v/>
      </c>
      <c r="Q408" s="144" t="str">
        <f t="shared" si="38"/>
        <v/>
      </c>
    </row>
    <row r="409" spans="1:17">
      <c r="A409" s="153"/>
      <c r="B409" s="148" t="str">
        <f t="shared" si="35"/>
        <v/>
      </c>
      <c r="C409" s="153"/>
      <c r="D409" s="148" t="str">
        <f t="shared" si="34"/>
        <v/>
      </c>
      <c r="E409" s="159"/>
      <c r="F409" s="148" t="str">
        <f t="shared" si="36"/>
        <v/>
      </c>
      <c r="G409" s="156"/>
      <c r="H409" s="156"/>
      <c r="I409" s="156"/>
      <c r="J409" s="174"/>
      <c r="K409" s="173"/>
      <c r="L409" s="173"/>
      <c r="M409" s="174"/>
      <c r="N409" s="174"/>
      <c r="P409" s="144" t="str">
        <f t="shared" si="37"/>
        <v/>
      </c>
      <c r="Q409" s="144" t="str">
        <f t="shared" si="38"/>
        <v/>
      </c>
    </row>
    <row r="410" spans="1:17">
      <c r="A410" s="153"/>
      <c r="B410" s="148" t="str">
        <f t="shared" si="35"/>
        <v/>
      </c>
      <c r="C410" s="153"/>
      <c r="D410" s="148" t="str">
        <f t="shared" si="34"/>
        <v/>
      </c>
      <c r="E410" s="159"/>
      <c r="F410" s="148" t="str">
        <f t="shared" si="36"/>
        <v/>
      </c>
      <c r="G410" s="156"/>
      <c r="H410" s="156"/>
      <c r="I410" s="156"/>
      <c r="J410" s="174"/>
      <c r="K410" s="173"/>
      <c r="L410" s="173"/>
      <c r="M410" s="174"/>
      <c r="N410" s="174"/>
      <c r="P410" s="144" t="str">
        <f t="shared" si="37"/>
        <v/>
      </c>
      <c r="Q410" s="144" t="str">
        <f t="shared" si="38"/>
        <v/>
      </c>
    </row>
    <row r="411" spans="1:17">
      <c r="A411" s="153"/>
      <c r="B411" s="148" t="str">
        <f t="shared" si="35"/>
        <v/>
      </c>
      <c r="C411" s="153"/>
      <c r="D411" s="148" t="str">
        <f t="shared" si="34"/>
        <v/>
      </c>
      <c r="E411" s="159"/>
      <c r="F411" s="148" t="str">
        <f t="shared" si="36"/>
        <v/>
      </c>
      <c r="G411" s="156"/>
      <c r="H411" s="156"/>
      <c r="I411" s="156"/>
      <c r="J411" s="174"/>
      <c r="K411" s="173"/>
      <c r="L411" s="173"/>
      <c r="M411" s="174"/>
      <c r="N411" s="174"/>
      <c r="P411" s="144" t="str">
        <f t="shared" si="37"/>
        <v/>
      </c>
      <c r="Q411" s="144" t="str">
        <f t="shared" si="38"/>
        <v/>
      </c>
    </row>
    <row r="412" spans="1:17">
      <c r="A412" s="153"/>
      <c r="B412" s="148" t="str">
        <f t="shared" si="35"/>
        <v/>
      </c>
      <c r="C412" s="153"/>
      <c r="D412" s="148" t="str">
        <f t="shared" si="34"/>
        <v/>
      </c>
      <c r="E412" s="159"/>
      <c r="F412" s="148" t="str">
        <f t="shared" si="36"/>
        <v/>
      </c>
      <c r="G412" s="156"/>
      <c r="H412" s="156"/>
      <c r="I412" s="156"/>
      <c r="J412" s="174"/>
      <c r="K412" s="173"/>
      <c r="L412" s="173"/>
      <c r="M412" s="174"/>
      <c r="N412" s="174"/>
      <c r="P412" s="144" t="str">
        <f t="shared" si="37"/>
        <v/>
      </c>
      <c r="Q412" s="144" t="str">
        <f t="shared" si="38"/>
        <v/>
      </c>
    </row>
    <row r="413" spans="1:17">
      <c r="A413" s="153"/>
      <c r="B413" s="148" t="str">
        <f t="shared" si="35"/>
        <v/>
      </c>
      <c r="C413" s="153"/>
      <c r="D413" s="148" t="str">
        <f t="shared" si="34"/>
        <v/>
      </c>
      <c r="E413" s="159"/>
      <c r="F413" s="148" t="str">
        <f t="shared" si="36"/>
        <v/>
      </c>
      <c r="G413" s="156"/>
      <c r="H413" s="156"/>
      <c r="I413" s="156"/>
      <c r="J413" s="174"/>
      <c r="K413" s="173"/>
      <c r="L413" s="173"/>
      <c r="M413" s="174"/>
      <c r="N413" s="174"/>
      <c r="P413" s="144" t="str">
        <f t="shared" si="37"/>
        <v/>
      </c>
      <c r="Q413" s="144" t="str">
        <f t="shared" si="38"/>
        <v/>
      </c>
    </row>
    <row r="414" spans="1:17">
      <c r="A414" s="153"/>
      <c r="B414" s="148" t="str">
        <f t="shared" si="35"/>
        <v/>
      </c>
      <c r="C414" s="153"/>
      <c r="D414" s="148" t="str">
        <f t="shared" si="34"/>
        <v/>
      </c>
      <c r="E414" s="159"/>
      <c r="F414" s="148" t="str">
        <f t="shared" si="36"/>
        <v/>
      </c>
      <c r="G414" s="156"/>
      <c r="H414" s="156"/>
      <c r="I414" s="156"/>
      <c r="J414" s="174"/>
      <c r="K414" s="173"/>
      <c r="L414" s="173"/>
      <c r="M414" s="174"/>
      <c r="N414" s="174"/>
      <c r="P414" s="144" t="str">
        <f t="shared" si="37"/>
        <v/>
      </c>
      <c r="Q414" s="144" t="str">
        <f t="shared" si="38"/>
        <v/>
      </c>
    </row>
    <row r="415" spans="1:17">
      <c r="A415" s="153"/>
      <c r="B415" s="148" t="str">
        <f t="shared" si="35"/>
        <v/>
      </c>
      <c r="C415" s="153"/>
      <c r="D415" s="148" t="str">
        <f t="shared" si="34"/>
        <v/>
      </c>
      <c r="E415" s="159"/>
      <c r="F415" s="148" t="str">
        <f t="shared" si="36"/>
        <v/>
      </c>
      <c r="G415" s="156"/>
      <c r="H415" s="156"/>
      <c r="I415" s="156"/>
      <c r="J415" s="174"/>
      <c r="K415" s="173"/>
      <c r="L415" s="173"/>
      <c r="M415" s="174"/>
      <c r="N415" s="174"/>
      <c r="P415" s="144" t="str">
        <f t="shared" si="37"/>
        <v/>
      </c>
      <c r="Q415" s="144" t="str">
        <f t="shared" si="38"/>
        <v/>
      </c>
    </row>
    <row r="416" spans="1:17">
      <c r="A416" s="153"/>
      <c r="B416" s="148" t="str">
        <f t="shared" si="35"/>
        <v/>
      </c>
      <c r="C416" s="153"/>
      <c r="D416" s="148" t="str">
        <f t="shared" si="34"/>
        <v/>
      </c>
      <c r="E416" s="159"/>
      <c r="F416" s="148" t="str">
        <f t="shared" si="36"/>
        <v/>
      </c>
      <c r="G416" s="156"/>
      <c r="H416" s="156"/>
      <c r="I416" s="156"/>
      <c r="J416" s="174"/>
      <c r="K416" s="173"/>
      <c r="L416" s="173"/>
      <c r="M416" s="174"/>
      <c r="N416" s="174"/>
      <c r="P416" s="144" t="str">
        <f t="shared" si="37"/>
        <v/>
      </c>
      <c r="Q416" s="144" t="str">
        <f t="shared" si="38"/>
        <v/>
      </c>
    </row>
    <row r="417" spans="1:17">
      <c r="A417" s="153"/>
      <c r="B417" s="148" t="str">
        <f t="shared" si="35"/>
        <v/>
      </c>
      <c r="C417" s="153"/>
      <c r="D417" s="148" t="str">
        <f t="shared" si="34"/>
        <v/>
      </c>
      <c r="E417" s="159"/>
      <c r="F417" s="148" t="str">
        <f t="shared" si="36"/>
        <v/>
      </c>
      <c r="G417" s="156"/>
      <c r="H417" s="156"/>
      <c r="I417" s="156"/>
      <c r="J417" s="174"/>
      <c r="K417" s="173"/>
      <c r="L417" s="173"/>
      <c r="M417" s="174"/>
      <c r="N417" s="174"/>
      <c r="P417" s="144" t="str">
        <f t="shared" si="37"/>
        <v/>
      </c>
      <c r="Q417" s="144" t="str">
        <f t="shared" si="38"/>
        <v/>
      </c>
    </row>
    <row r="418" spans="1:17">
      <c r="A418" s="153"/>
      <c r="B418" s="148" t="str">
        <f t="shared" si="35"/>
        <v/>
      </c>
      <c r="C418" s="153"/>
      <c r="D418" s="148" t="str">
        <f t="shared" si="34"/>
        <v/>
      </c>
      <c r="E418" s="159"/>
      <c r="F418" s="148" t="str">
        <f t="shared" si="36"/>
        <v/>
      </c>
      <c r="G418" s="156"/>
      <c r="H418" s="156"/>
      <c r="I418" s="156"/>
      <c r="J418" s="174"/>
      <c r="K418" s="173"/>
      <c r="L418" s="173"/>
      <c r="M418" s="174"/>
      <c r="N418" s="174"/>
      <c r="P418" s="144" t="str">
        <f t="shared" si="37"/>
        <v/>
      </c>
      <c r="Q418" s="144" t="str">
        <f t="shared" si="38"/>
        <v/>
      </c>
    </row>
    <row r="419" spans="1:17">
      <c r="A419" s="153"/>
      <c r="B419" s="148" t="str">
        <f t="shared" si="35"/>
        <v/>
      </c>
      <c r="C419" s="153"/>
      <c r="D419" s="148" t="str">
        <f t="shared" si="34"/>
        <v/>
      </c>
      <c r="E419" s="159"/>
      <c r="F419" s="148" t="str">
        <f t="shared" si="36"/>
        <v/>
      </c>
      <c r="G419" s="156"/>
      <c r="H419" s="156"/>
      <c r="I419" s="156"/>
      <c r="J419" s="174"/>
      <c r="K419" s="173"/>
      <c r="L419" s="173"/>
      <c r="M419" s="174"/>
      <c r="N419" s="174"/>
      <c r="P419" s="144" t="str">
        <f t="shared" si="37"/>
        <v/>
      </c>
      <c r="Q419" s="144" t="str">
        <f t="shared" si="38"/>
        <v/>
      </c>
    </row>
    <row r="420" spans="1:17">
      <c r="A420" s="153"/>
      <c r="B420" s="148" t="str">
        <f t="shared" si="35"/>
        <v/>
      </c>
      <c r="C420" s="153"/>
      <c r="D420" s="148" t="str">
        <f t="shared" si="34"/>
        <v/>
      </c>
      <c r="E420" s="159"/>
      <c r="F420" s="148" t="str">
        <f t="shared" si="36"/>
        <v/>
      </c>
      <c r="G420" s="156"/>
      <c r="H420" s="156"/>
      <c r="I420" s="156"/>
      <c r="J420" s="174"/>
      <c r="K420" s="173"/>
      <c r="L420" s="173"/>
      <c r="M420" s="174"/>
      <c r="N420" s="174"/>
      <c r="P420" s="144" t="str">
        <f t="shared" si="37"/>
        <v/>
      </c>
      <c r="Q420" s="144" t="str">
        <f t="shared" si="38"/>
        <v/>
      </c>
    </row>
    <row r="421" spans="1:17">
      <c r="A421" s="153"/>
      <c r="B421" s="148" t="str">
        <f t="shared" si="35"/>
        <v/>
      </c>
      <c r="C421" s="153"/>
      <c r="D421" s="148" t="str">
        <f t="shared" si="34"/>
        <v/>
      </c>
      <c r="E421" s="159"/>
      <c r="F421" s="148" t="str">
        <f t="shared" si="36"/>
        <v/>
      </c>
      <c r="G421" s="156"/>
      <c r="H421" s="156"/>
      <c r="I421" s="156"/>
      <c r="J421" s="174"/>
      <c r="K421" s="173"/>
      <c r="L421" s="173"/>
      <c r="M421" s="174"/>
      <c r="N421" s="174"/>
      <c r="P421" s="144" t="str">
        <f t="shared" si="37"/>
        <v/>
      </c>
      <c r="Q421" s="144" t="str">
        <f t="shared" si="38"/>
        <v/>
      </c>
    </row>
    <row r="422" spans="1:17">
      <c r="A422" s="153"/>
      <c r="B422" s="148" t="str">
        <f t="shared" si="35"/>
        <v/>
      </c>
      <c r="C422" s="153"/>
      <c r="D422" s="148" t="str">
        <f t="shared" si="34"/>
        <v/>
      </c>
      <c r="E422" s="159"/>
      <c r="F422" s="148" t="str">
        <f t="shared" si="36"/>
        <v/>
      </c>
      <c r="G422" s="156"/>
      <c r="H422" s="156"/>
      <c r="I422" s="156"/>
      <c r="J422" s="174"/>
      <c r="K422" s="173"/>
      <c r="L422" s="173"/>
      <c r="M422" s="174"/>
      <c r="N422" s="174"/>
      <c r="P422" s="144" t="str">
        <f t="shared" si="37"/>
        <v/>
      </c>
      <c r="Q422" s="144" t="str">
        <f t="shared" si="38"/>
        <v/>
      </c>
    </row>
    <row r="423" spans="1:17">
      <c r="A423" s="153"/>
      <c r="B423" s="148" t="str">
        <f t="shared" si="35"/>
        <v/>
      </c>
      <c r="C423" s="153"/>
      <c r="D423" s="148" t="str">
        <f t="shared" si="34"/>
        <v/>
      </c>
      <c r="E423" s="159"/>
      <c r="F423" s="148" t="str">
        <f t="shared" si="36"/>
        <v/>
      </c>
      <c r="G423" s="156"/>
      <c r="H423" s="156"/>
      <c r="I423" s="156"/>
      <c r="J423" s="174"/>
      <c r="K423" s="173"/>
      <c r="L423" s="173"/>
      <c r="M423" s="174"/>
      <c r="N423" s="174"/>
      <c r="P423" s="144" t="str">
        <f t="shared" si="37"/>
        <v/>
      </c>
      <c r="Q423" s="144" t="str">
        <f t="shared" si="38"/>
        <v/>
      </c>
    </row>
    <row r="424" spans="1:17">
      <c r="A424" s="153"/>
      <c r="B424" s="148" t="str">
        <f t="shared" si="35"/>
        <v/>
      </c>
      <c r="C424" s="153"/>
      <c r="D424" s="148" t="str">
        <f t="shared" si="34"/>
        <v/>
      </c>
      <c r="E424" s="159"/>
      <c r="F424" s="148" t="str">
        <f t="shared" si="36"/>
        <v/>
      </c>
      <c r="G424" s="156"/>
      <c r="H424" s="156"/>
      <c r="I424" s="156"/>
      <c r="J424" s="174"/>
      <c r="K424" s="173"/>
      <c r="L424" s="173"/>
      <c r="M424" s="174"/>
      <c r="N424" s="174"/>
      <c r="P424" s="144" t="str">
        <f t="shared" si="37"/>
        <v/>
      </c>
      <c r="Q424" s="144" t="str">
        <f t="shared" si="38"/>
        <v/>
      </c>
    </row>
    <row r="425" spans="1:17">
      <c r="A425" s="153"/>
      <c r="B425" s="148" t="str">
        <f t="shared" si="35"/>
        <v/>
      </c>
      <c r="C425" s="153"/>
      <c r="D425" s="148" t="str">
        <f t="shared" si="34"/>
        <v/>
      </c>
      <c r="E425" s="159"/>
      <c r="F425" s="148" t="str">
        <f t="shared" si="36"/>
        <v/>
      </c>
      <c r="G425" s="156"/>
      <c r="H425" s="156"/>
      <c r="I425" s="156"/>
      <c r="J425" s="174"/>
      <c r="K425" s="173"/>
      <c r="L425" s="173"/>
      <c r="M425" s="174"/>
      <c r="N425" s="174"/>
      <c r="P425" s="144" t="str">
        <f t="shared" si="37"/>
        <v/>
      </c>
      <c r="Q425" s="144" t="str">
        <f t="shared" si="38"/>
        <v/>
      </c>
    </row>
    <row r="426" spans="1:17">
      <c r="A426" s="153"/>
      <c r="B426" s="148" t="str">
        <f t="shared" si="35"/>
        <v/>
      </c>
      <c r="C426" s="153"/>
      <c r="D426" s="148" t="str">
        <f t="shared" si="34"/>
        <v/>
      </c>
      <c r="E426" s="159"/>
      <c r="F426" s="148" t="str">
        <f t="shared" si="36"/>
        <v/>
      </c>
      <c r="G426" s="156"/>
      <c r="H426" s="156"/>
      <c r="I426" s="156"/>
      <c r="J426" s="174"/>
      <c r="K426" s="173"/>
      <c r="L426" s="173"/>
      <c r="M426" s="174"/>
      <c r="N426" s="174"/>
      <c r="P426" s="144" t="str">
        <f t="shared" si="37"/>
        <v/>
      </c>
      <c r="Q426" s="144" t="str">
        <f t="shared" si="38"/>
        <v/>
      </c>
    </row>
    <row r="427" spans="1:17">
      <c r="A427" s="153"/>
      <c r="B427" s="148" t="str">
        <f t="shared" si="35"/>
        <v/>
      </c>
      <c r="C427" s="153"/>
      <c r="D427" s="148" t="str">
        <f t="shared" si="34"/>
        <v/>
      </c>
      <c r="E427" s="159"/>
      <c r="F427" s="148" t="str">
        <f t="shared" si="36"/>
        <v/>
      </c>
      <c r="G427" s="156"/>
      <c r="H427" s="156"/>
      <c r="I427" s="156"/>
      <c r="J427" s="174"/>
      <c r="K427" s="173"/>
      <c r="L427" s="173"/>
      <c r="M427" s="174"/>
      <c r="N427" s="174"/>
      <c r="P427" s="144" t="str">
        <f t="shared" si="37"/>
        <v/>
      </c>
      <c r="Q427" s="144" t="str">
        <f t="shared" si="38"/>
        <v/>
      </c>
    </row>
    <row r="428" spans="1:17">
      <c r="A428" s="153"/>
      <c r="B428" s="148" t="str">
        <f t="shared" si="35"/>
        <v/>
      </c>
      <c r="C428" s="153"/>
      <c r="D428" s="148" t="str">
        <f t="shared" si="34"/>
        <v/>
      </c>
      <c r="E428" s="159"/>
      <c r="F428" s="148" t="str">
        <f t="shared" si="36"/>
        <v/>
      </c>
      <c r="G428" s="156"/>
      <c r="H428" s="156"/>
      <c r="I428" s="156"/>
      <c r="J428" s="174"/>
      <c r="K428" s="173"/>
      <c r="L428" s="173"/>
      <c r="M428" s="174"/>
      <c r="N428" s="174"/>
      <c r="P428" s="144" t="str">
        <f t="shared" si="37"/>
        <v/>
      </c>
      <c r="Q428" s="144" t="str">
        <f t="shared" si="38"/>
        <v/>
      </c>
    </row>
    <row r="429" spans="1:17">
      <c r="A429" s="153"/>
      <c r="B429" s="148" t="str">
        <f t="shared" si="35"/>
        <v/>
      </c>
      <c r="C429" s="153"/>
      <c r="D429" s="148" t="str">
        <f t="shared" si="34"/>
        <v/>
      </c>
      <c r="E429" s="159"/>
      <c r="F429" s="148" t="str">
        <f t="shared" si="36"/>
        <v/>
      </c>
      <c r="G429" s="156"/>
      <c r="H429" s="156"/>
      <c r="I429" s="156"/>
      <c r="J429" s="174"/>
      <c r="K429" s="173"/>
      <c r="L429" s="173"/>
      <c r="M429" s="174"/>
      <c r="N429" s="174"/>
      <c r="P429" s="144" t="str">
        <f t="shared" si="37"/>
        <v/>
      </c>
      <c r="Q429" s="144" t="str">
        <f t="shared" si="38"/>
        <v/>
      </c>
    </row>
    <row r="430" spans="1:17">
      <c r="A430" s="153"/>
      <c r="B430" s="148" t="str">
        <f t="shared" si="35"/>
        <v/>
      </c>
      <c r="C430" s="153"/>
      <c r="D430" s="148" t="str">
        <f t="shared" si="34"/>
        <v/>
      </c>
      <c r="E430" s="159"/>
      <c r="F430" s="148" t="str">
        <f t="shared" si="36"/>
        <v/>
      </c>
      <c r="G430" s="156"/>
      <c r="H430" s="156"/>
      <c r="I430" s="156"/>
      <c r="J430" s="174"/>
      <c r="K430" s="173"/>
      <c r="L430" s="173"/>
      <c r="M430" s="174"/>
      <c r="N430" s="174"/>
      <c r="P430" s="144" t="str">
        <f t="shared" si="37"/>
        <v/>
      </c>
      <c r="Q430" s="144" t="str">
        <f t="shared" si="38"/>
        <v/>
      </c>
    </row>
    <row r="431" spans="1:17">
      <c r="A431" s="153"/>
      <c r="B431" s="148" t="str">
        <f t="shared" si="35"/>
        <v/>
      </c>
      <c r="C431" s="153"/>
      <c r="D431" s="148" t="str">
        <f t="shared" si="34"/>
        <v/>
      </c>
      <c r="E431" s="159"/>
      <c r="F431" s="148" t="str">
        <f t="shared" si="36"/>
        <v/>
      </c>
      <c r="G431" s="156"/>
      <c r="H431" s="156"/>
      <c r="I431" s="156"/>
      <c r="J431" s="174"/>
      <c r="K431" s="173"/>
      <c r="L431" s="173"/>
      <c r="M431" s="174"/>
      <c r="N431" s="174"/>
      <c r="P431" s="144" t="str">
        <f t="shared" si="37"/>
        <v/>
      </c>
      <c r="Q431" s="144" t="str">
        <f t="shared" si="38"/>
        <v/>
      </c>
    </row>
    <row r="432" spans="1:17">
      <c r="A432" s="153"/>
      <c r="B432" s="148" t="str">
        <f t="shared" si="35"/>
        <v/>
      </c>
      <c r="C432" s="153"/>
      <c r="D432" s="148" t="str">
        <f t="shared" si="34"/>
        <v/>
      </c>
      <c r="E432" s="159"/>
      <c r="F432" s="148" t="str">
        <f t="shared" si="36"/>
        <v/>
      </c>
      <c r="G432" s="156"/>
      <c r="H432" s="156"/>
      <c r="I432" s="156"/>
      <c r="J432" s="174"/>
      <c r="K432" s="173"/>
      <c r="L432" s="173"/>
      <c r="M432" s="174"/>
      <c r="N432" s="174"/>
      <c r="P432" s="144" t="str">
        <f t="shared" si="37"/>
        <v/>
      </c>
      <c r="Q432" s="144" t="str">
        <f t="shared" si="38"/>
        <v/>
      </c>
    </row>
    <row r="433" spans="1:17">
      <c r="A433" s="153"/>
      <c r="B433" s="148" t="str">
        <f t="shared" si="35"/>
        <v/>
      </c>
      <c r="C433" s="153"/>
      <c r="D433" s="148" t="str">
        <f t="shared" si="34"/>
        <v/>
      </c>
      <c r="E433" s="159"/>
      <c r="F433" s="148" t="str">
        <f t="shared" si="36"/>
        <v/>
      </c>
      <c r="G433" s="156"/>
      <c r="H433" s="156"/>
      <c r="I433" s="156"/>
      <c r="J433" s="174"/>
      <c r="K433" s="173"/>
      <c r="L433" s="173"/>
      <c r="M433" s="174"/>
      <c r="N433" s="174"/>
      <c r="P433" s="144" t="str">
        <f t="shared" si="37"/>
        <v/>
      </c>
      <c r="Q433" s="144" t="str">
        <f t="shared" si="38"/>
        <v/>
      </c>
    </row>
    <row r="434" spans="1:17">
      <c r="A434" s="153"/>
      <c r="B434" s="148" t="str">
        <f t="shared" si="35"/>
        <v/>
      </c>
      <c r="C434" s="153"/>
      <c r="D434" s="148" t="str">
        <f t="shared" si="34"/>
        <v/>
      </c>
      <c r="E434" s="159"/>
      <c r="F434" s="148" t="str">
        <f t="shared" si="36"/>
        <v/>
      </c>
      <c r="G434" s="156"/>
      <c r="H434" s="156"/>
      <c r="I434" s="156"/>
      <c r="J434" s="174"/>
      <c r="K434" s="173"/>
      <c r="L434" s="173"/>
      <c r="M434" s="174"/>
      <c r="N434" s="174"/>
      <c r="P434" s="144" t="str">
        <f t="shared" si="37"/>
        <v/>
      </c>
      <c r="Q434" s="144" t="str">
        <f t="shared" si="38"/>
        <v/>
      </c>
    </row>
    <row r="435" spans="1:17">
      <c r="A435" s="153"/>
      <c r="B435" s="148" t="str">
        <f t="shared" si="35"/>
        <v/>
      </c>
      <c r="C435" s="153"/>
      <c r="D435" s="148" t="str">
        <f t="shared" si="34"/>
        <v/>
      </c>
      <c r="E435" s="159"/>
      <c r="F435" s="148" t="str">
        <f t="shared" si="36"/>
        <v/>
      </c>
      <c r="G435" s="156"/>
      <c r="H435" s="156"/>
      <c r="I435" s="156"/>
      <c r="J435" s="174"/>
      <c r="K435" s="173"/>
      <c r="L435" s="173"/>
      <c r="M435" s="174"/>
      <c r="N435" s="174"/>
      <c r="P435" s="144" t="str">
        <f t="shared" si="37"/>
        <v/>
      </c>
      <c r="Q435" s="144" t="str">
        <f t="shared" si="38"/>
        <v/>
      </c>
    </row>
    <row r="436" spans="1:17">
      <c r="A436" s="153"/>
      <c r="B436" s="148" t="str">
        <f t="shared" si="35"/>
        <v/>
      </c>
      <c r="C436" s="153"/>
      <c r="D436" s="148" t="str">
        <f t="shared" si="34"/>
        <v/>
      </c>
      <c r="E436" s="159"/>
      <c r="F436" s="148" t="str">
        <f t="shared" si="36"/>
        <v/>
      </c>
      <c r="G436" s="156"/>
      <c r="H436" s="156"/>
      <c r="I436" s="156"/>
      <c r="J436" s="174"/>
      <c r="K436" s="173"/>
      <c r="L436" s="173"/>
      <c r="M436" s="174"/>
      <c r="N436" s="174"/>
      <c r="P436" s="144" t="str">
        <f t="shared" si="37"/>
        <v/>
      </c>
      <c r="Q436" s="144" t="str">
        <f t="shared" si="38"/>
        <v/>
      </c>
    </row>
    <row r="437" spans="1:17">
      <c r="A437" s="153"/>
      <c r="B437" s="148" t="str">
        <f t="shared" si="35"/>
        <v/>
      </c>
      <c r="C437" s="153"/>
      <c r="D437" s="148" t="str">
        <f t="shared" si="34"/>
        <v/>
      </c>
      <c r="E437" s="159"/>
      <c r="F437" s="148" t="str">
        <f t="shared" si="36"/>
        <v/>
      </c>
      <c r="G437" s="156"/>
      <c r="H437" s="156"/>
      <c r="I437" s="156"/>
      <c r="J437" s="174"/>
      <c r="K437" s="173"/>
      <c r="L437" s="173"/>
      <c r="M437" s="174"/>
      <c r="N437" s="174"/>
      <c r="P437" s="144" t="str">
        <f t="shared" si="37"/>
        <v/>
      </c>
      <c r="Q437" s="144" t="str">
        <f t="shared" si="38"/>
        <v/>
      </c>
    </row>
    <row r="438" spans="1:17">
      <c r="A438" s="153"/>
      <c r="B438" s="148" t="str">
        <f t="shared" si="35"/>
        <v/>
      </c>
      <c r="C438" s="153"/>
      <c r="D438" s="148" t="str">
        <f t="shared" si="34"/>
        <v/>
      </c>
      <c r="E438" s="159"/>
      <c r="F438" s="148" t="str">
        <f t="shared" si="36"/>
        <v/>
      </c>
      <c r="G438" s="156"/>
      <c r="H438" s="156"/>
      <c r="I438" s="156"/>
      <c r="J438" s="174"/>
      <c r="K438" s="173"/>
      <c r="L438" s="173"/>
      <c r="M438" s="174"/>
      <c r="N438" s="174"/>
      <c r="P438" s="144" t="str">
        <f t="shared" si="37"/>
        <v/>
      </c>
      <c r="Q438" s="144" t="str">
        <f t="shared" si="38"/>
        <v/>
      </c>
    </row>
    <row r="439" spans="1:17">
      <c r="A439" s="153"/>
      <c r="B439" s="148" t="str">
        <f t="shared" si="35"/>
        <v/>
      </c>
      <c r="C439" s="153"/>
      <c r="D439" s="148" t="str">
        <f t="shared" si="34"/>
        <v/>
      </c>
      <c r="E439" s="159"/>
      <c r="F439" s="148" t="str">
        <f t="shared" si="36"/>
        <v/>
      </c>
      <c r="G439" s="156"/>
      <c r="H439" s="156"/>
      <c r="I439" s="156"/>
      <c r="J439" s="174"/>
      <c r="K439" s="173"/>
      <c r="L439" s="173"/>
      <c r="M439" s="174"/>
      <c r="N439" s="174"/>
      <c r="P439" s="144" t="str">
        <f t="shared" si="37"/>
        <v/>
      </c>
      <c r="Q439" s="144" t="str">
        <f t="shared" si="38"/>
        <v/>
      </c>
    </row>
    <row r="440" spans="1:17">
      <c r="A440" s="153"/>
      <c r="B440" s="148" t="str">
        <f t="shared" si="35"/>
        <v/>
      </c>
      <c r="C440" s="153"/>
      <c r="D440" s="148" t="str">
        <f t="shared" si="34"/>
        <v/>
      </c>
      <c r="E440" s="159"/>
      <c r="F440" s="148" t="str">
        <f t="shared" si="36"/>
        <v/>
      </c>
      <c r="G440" s="156"/>
      <c r="H440" s="156"/>
      <c r="I440" s="156"/>
      <c r="J440" s="174"/>
      <c r="K440" s="173"/>
      <c r="L440" s="173"/>
      <c r="M440" s="174"/>
      <c r="N440" s="174"/>
      <c r="P440" s="144" t="str">
        <f t="shared" si="37"/>
        <v/>
      </c>
      <c r="Q440" s="144" t="str">
        <f t="shared" si="38"/>
        <v/>
      </c>
    </row>
    <row r="441" spans="1:17">
      <c r="A441" s="153"/>
      <c r="B441" s="148" t="str">
        <f t="shared" si="35"/>
        <v/>
      </c>
      <c r="C441" s="153"/>
      <c r="D441" s="148" t="str">
        <f t="shared" si="34"/>
        <v/>
      </c>
      <c r="E441" s="159"/>
      <c r="F441" s="148" t="str">
        <f t="shared" si="36"/>
        <v/>
      </c>
      <c r="G441" s="156"/>
      <c r="H441" s="156"/>
      <c r="I441" s="156"/>
      <c r="J441" s="174"/>
      <c r="K441" s="173"/>
      <c r="L441" s="173"/>
      <c r="M441" s="174"/>
      <c r="N441" s="174"/>
      <c r="P441" s="144" t="str">
        <f t="shared" si="37"/>
        <v/>
      </c>
      <c r="Q441" s="144" t="str">
        <f t="shared" si="38"/>
        <v/>
      </c>
    </row>
    <row r="442" spans="1:17">
      <c r="A442" s="153"/>
      <c r="B442" s="148" t="str">
        <f t="shared" si="35"/>
        <v/>
      </c>
      <c r="C442" s="153"/>
      <c r="D442" s="148" t="str">
        <f t="shared" si="34"/>
        <v/>
      </c>
      <c r="E442" s="159"/>
      <c r="F442" s="148" t="str">
        <f t="shared" si="36"/>
        <v/>
      </c>
      <c r="G442" s="156"/>
      <c r="H442" s="156"/>
      <c r="I442" s="156"/>
      <c r="J442" s="174"/>
      <c r="K442" s="173"/>
      <c r="L442" s="173"/>
      <c r="M442" s="174"/>
      <c r="N442" s="174"/>
      <c r="P442" s="144" t="str">
        <f t="shared" si="37"/>
        <v/>
      </c>
      <c r="Q442" s="144" t="str">
        <f t="shared" si="38"/>
        <v/>
      </c>
    </row>
    <row r="443" spans="1:17">
      <c r="A443" s="153"/>
      <c r="B443" s="148" t="str">
        <f t="shared" si="35"/>
        <v/>
      </c>
      <c r="C443" s="153"/>
      <c r="D443" s="148" t="str">
        <f t="shared" si="34"/>
        <v/>
      </c>
      <c r="E443" s="159"/>
      <c r="F443" s="148" t="str">
        <f t="shared" si="36"/>
        <v/>
      </c>
      <c r="G443" s="156"/>
      <c r="H443" s="156"/>
      <c r="I443" s="156"/>
      <c r="J443" s="174"/>
      <c r="K443" s="173"/>
      <c r="L443" s="173"/>
      <c r="M443" s="174"/>
      <c r="N443" s="174"/>
      <c r="P443" s="144" t="str">
        <f t="shared" si="37"/>
        <v/>
      </c>
      <c r="Q443" s="144" t="str">
        <f t="shared" si="38"/>
        <v/>
      </c>
    </row>
    <row r="444" spans="1:17">
      <c r="A444" s="153"/>
      <c r="B444" s="148" t="str">
        <f t="shared" si="35"/>
        <v/>
      </c>
      <c r="C444" s="153"/>
      <c r="D444" s="148" t="str">
        <f t="shared" si="34"/>
        <v/>
      </c>
      <c r="E444" s="159"/>
      <c r="F444" s="148" t="str">
        <f t="shared" si="36"/>
        <v/>
      </c>
      <c r="G444" s="156"/>
      <c r="H444" s="156"/>
      <c r="I444" s="156"/>
      <c r="J444" s="174"/>
      <c r="K444" s="173"/>
      <c r="L444" s="173"/>
      <c r="M444" s="174"/>
      <c r="N444" s="174"/>
      <c r="P444" s="144" t="str">
        <f t="shared" si="37"/>
        <v/>
      </c>
      <c r="Q444" s="144" t="str">
        <f t="shared" si="38"/>
        <v/>
      </c>
    </row>
    <row r="445" spans="1:17">
      <c r="A445" s="153"/>
      <c r="B445" s="148" t="str">
        <f t="shared" si="35"/>
        <v/>
      </c>
      <c r="C445" s="153"/>
      <c r="D445" s="148" t="str">
        <f t="shared" si="34"/>
        <v/>
      </c>
      <c r="E445" s="159"/>
      <c r="F445" s="148" t="str">
        <f t="shared" si="36"/>
        <v/>
      </c>
      <c r="G445" s="156"/>
      <c r="H445" s="156"/>
      <c r="I445" s="156"/>
      <c r="J445" s="174"/>
      <c r="K445" s="173"/>
      <c r="L445" s="173"/>
      <c r="M445" s="174"/>
      <c r="N445" s="174"/>
      <c r="P445" s="144" t="str">
        <f t="shared" si="37"/>
        <v/>
      </c>
      <c r="Q445" s="144" t="str">
        <f t="shared" si="38"/>
        <v/>
      </c>
    </row>
    <row r="446" spans="1:17">
      <c r="A446" s="153"/>
      <c r="B446" s="148" t="str">
        <f t="shared" si="35"/>
        <v/>
      </c>
      <c r="C446" s="153"/>
      <c r="D446" s="148" t="str">
        <f t="shared" si="34"/>
        <v/>
      </c>
      <c r="E446" s="159"/>
      <c r="F446" s="148" t="str">
        <f t="shared" si="36"/>
        <v/>
      </c>
      <c r="G446" s="156"/>
      <c r="H446" s="156"/>
      <c r="I446" s="156"/>
      <c r="J446" s="174"/>
      <c r="K446" s="173"/>
      <c r="L446" s="173"/>
      <c r="M446" s="174"/>
      <c r="N446" s="174"/>
      <c r="P446" s="144" t="str">
        <f t="shared" si="37"/>
        <v/>
      </c>
      <c r="Q446" s="144" t="str">
        <f t="shared" si="38"/>
        <v/>
      </c>
    </row>
    <row r="447" spans="1:17">
      <c r="A447" s="153"/>
      <c r="B447" s="148" t="str">
        <f t="shared" si="35"/>
        <v/>
      </c>
      <c r="C447" s="153"/>
      <c r="D447" s="148" t="str">
        <f t="shared" si="34"/>
        <v/>
      </c>
      <c r="E447" s="159"/>
      <c r="F447" s="148" t="str">
        <f t="shared" si="36"/>
        <v/>
      </c>
      <c r="G447" s="156"/>
      <c r="H447" s="156"/>
      <c r="I447" s="156"/>
      <c r="J447" s="174"/>
      <c r="K447" s="173"/>
      <c r="L447" s="173"/>
      <c r="M447" s="174"/>
      <c r="N447" s="174"/>
      <c r="P447" s="144" t="str">
        <f t="shared" si="37"/>
        <v/>
      </c>
      <c r="Q447" s="144" t="str">
        <f t="shared" si="38"/>
        <v/>
      </c>
    </row>
    <row r="448" spans="1:17">
      <c r="A448" s="153"/>
      <c r="B448" s="148" t="str">
        <f t="shared" si="35"/>
        <v/>
      </c>
      <c r="C448" s="153"/>
      <c r="D448" s="148" t="str">
        <f t="shared" si="34"/>
        <v/>
      </c>
      <c r="E448" s="159"/>
      <c r="F448" s="148" t="str">
        <f t="shared" si="36"/>
        <v/>
      </c>
      <c r="G448" s="156"/>
      <c r="H448" s="156"/>
      <c r="I448" s="156"/>
      <c r="J448" s="174"/>
      <c r="K448" s="173"/>
      <c r="L448" s="173"/>
      <c r="M448" s="174"/>
      <c r="N448" s="174"/>
      <c r="P448" s="144" t="str">
        <f t="shared" si="37"/>
        <v/>
      </c>
      <c r="Q448" s="144" t="str">
        <f t="shared" si="38"/>
        <v/>
      </c>
    </row>
    <row r="449" spans="1:17">
      <c r="A449" s="153"/>
      <c r="B449" s="148" t="str">
        <f t="shared" si="35"/>
        <v/>
      </c>
      <c r="C449" s="153"/>
      <c r="D449" s="148" t="str">
        <f t="shared" si="34"/>
        <v/>
      </c>
      <c r="E449" s="159"/>
      <c r="F449" s="148" t="str">
        <f t="shared" si="36"/>
        <v/>
      </c>
      <c r="G449" s="156"/>
      <c r="H449" s="156"/>
      <c r="I449" s="156"/>
      <c r="J449" s="174"/>
      <c r="K449" s="173"/>
      <c r="L449" s="173"/>
      <c r="M449" s="174"/>
      <c r="N449" s="174"/>
      <c r="P449" s="144" t="str">
        <f t="shared" si="37"/>
        <v/>
      </c>
      <c r="Q449" s="144" t="str">
        <f t="shared" si="38"/>
        <v/>
      </c>
    </row>
    <row r="450" spans="1:17">
      <c r="A450" s="153"/>
      <c r="B450" s="148" t="str">
        <f t="shared" si="35"/>
        <v/>
      </c>
      <c r="C450" s="153"/>
      <c r="D450" s="148" t="str">
        <f t="shared" si="34"/>
        <v/>
      </c>
      <c r="E450" s="159"/>
      <c r="F450" s="148" t="str">
        <f t="shared" si="36"/>
        <v/>
      </c>
      <c r="G450" s="156"/>
      <c r="H450" s="156"/>
      <c r="I450" s="156"/>
      <c r="J450" s="174"/>
      <c r="K450" s="173"/>
      <c r="L450" s="173"/>
      <c r="M450" s="174"/>
      <c r="N450" s="174"/>
      <c r="P450" s="144" t="str">
        <f t="shared" si="37"/>
        <v/>
      </c>
      <c r="Q450" s="144" t="str">
        <f t="shared" si="38"/>
        <v/>
      </c>
    </row>
    <row r="451" spans="1:17">
      <c r="A451" s="153"/>
      <c r="B451" s="148" t="str">
        <f t="shared" si="35"/>
        <v/>
      </c>
      <c r="C451" s="153"/>
      <c r="D451" s="148" t="str">
        <f t="shared" ref="D451:D501" si="39">IFERROR(VLOOKUP(C451,$U$5:$W$129,2,FALSE),"")</f>
        <v/>
      </c>
      <c r="E451" s="159"/>
      <c r="F451" s="148" t="str">
        <f t="shared" si="36"/>
        <v/>
      </c>
      <c r="G451" s="156"/>
      <c r="H451" s="156"/>
      <c r="I451" s="156"/>
      <c r="J451" s="174"/>
      <c r="K451" s="173"/>
      <c r="L451" s="173"/>
      <c r="M451" s="174"/>
      <c r="N451" s="174"/>
      <c r="P451" s="144" t="str">
        <f t="shared" si="37"/>
        <v/>
      </c>
      <c r="Q451" s="144" t="str">
        <f t="shared" si="38"/>
        <v/>
      </c>
    </row>
    <row r="452" spans="1:17">
      <c r="A452" s="153"/>
      <c r="B452" s="148" t="str">
        <f t="shared" ref="B452:B501" si="40">IFERROR(VLOOKUP(A452,$R$6:$S$16,2,FALSE),"")</f>
        <v/>
      </c>
      <c r="C452" s="153"/>
      <c r="D452" s="148" t="str">
        <f t="shared" si="39"/>
        <v/>
      </c>
      <c r="E452" s="159"/>
      <c r="F452" s="148" t="str">
        <f t="shared" ref="F452:F501" si="41">IFERROR(VLOOKUP(E452,$AA$6:$AB$200,2,FALSE),"")</f>
        <v/>
      </c>
      <c r="G452" s="156"/>
      <c r="H452" s="156"/>
      <c r="I452" s="156"/>
      <c r="J452" s="174"/>
      <c r="K452" s="173"/>
      <c r="L452" s="173"/>
      <c r="M452" s="174"/>
      <c r="N452" s="174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3"/>
      <c r="B453" s="148" t="str">
        <f t="shared" si="40"/>
        <v/>
      </c>
      <c r="C453" s="153"/>
      <c r="D453" s="148" t="str">
        <f t="shared" si="39"/>
        <v/>
      </c>
      <c r="E453" s="159"/>
      <c r="F453" s="148" t="str">
        <f t="shared" si="41"/>
        <v/>
      </c>
      <c r="G453" s="156"/>
      <c r="H453" s="156"/>
      <c r="I453" s="156"/>
      <c r="J453" s="174"/>
      <c r="K453" s="173"/>
      <c r="L453" s="173"/>
      <c r="M453" s="174"/>
      <c r="N453" s="174"/>
      <c r="P453" s="144" t="str">
        <f t="shared" si="42"/>
        <v/>
      </c>
      <c r="Q453" s="144" t="str">
        <f t="shared" si="43"/>
        <v/>
      </c>
    </row>
    <row r="454" spans="1:17">
      <c r="A454" s="153"/>
      <c r="B454" s="148" t="str">
        <f t="shared" si="40"/>
        <v/>
      </c>
      <c r="C454" s="153"/>
      <c r="D454" s="148" t="str">
        <f t="shared" si="39"/>
        <v/>
      </c>
      <c r="E454" s="159"/>
      <c r="F454" s="148" t="str">
        <f t="shared" si="41"/>
        <v/>
      </c>
      <c r="G454" s="156"/>
      <c r="H454" s="156"/>
      <c r="I454" s="156"/>
      <c r="J454" s="174"/>
      <c r="K454" s="173"/>
      <c r="L454" s="173"/>
      <c r="M454" s="174"/>
      <c r="N454" s="174"/>
      <c r="P454" s="144" t="str">
        <f t="shared" si="42"/>
        <v/>
      </c>
      <c r="Q454" s="144" t="str">
        <f t="shared" si="43"/>
        <v/>
      </c>
    </row>
    <row r="455" spans="1:17">
      <c r="A455" s="153"/>
      <c r="B455" s="148" t="str">
        <f t="shared" si="40"/>
        <v/>
      </c>
      <c r="C455" s="153"/>
      <c r="D455" s="148" t="str">
        <f t="shared" si="39"/>
        <v/>
      </c>
      <c r="E455" s="159"/>
      <c r="F455" s="148" t="str">
        <f t="shared" si="41"/>
        <v/>
      </c>
      <c r="G455" s="156"/>
      <c r="H455" s="156"/>
      <c r="I455" s="156"/>
      <c r="J455" s="174"/>
      <c r="K455" s="173"/>
      <c r="L455" s="173"/>
      <c r="M455" s="174"/>
      <c r="N455" s="174"/>
      <c r="P455" s="144" t="str">
        <f t="shared" si="42"/>
        <v/>
      </c>
      <c r="Q455" s="144" t="str">
        <f t="shared" si="43"/>
        <v/>
      </c>
    </row>
    <row r="456" spans="1:17">
      <c r="A456" s="153"/>
      <c r="B456" s="148" t="str">
        <f t="shared" si="40"/>
        <v/>
      </c>
      <c r="C456" s="153"/>
      <c r="D456" s="148" t="str">
        <f t="shared" si="39"/>
        <v/>
      </c>
      <c r="E456" s="159"/>
      <c r="F456" s="148" t="str">
        <f t="shared" si="41"/>
        <v/>
      </c>
      <c r="G456" s="156"/>
      <c r="H456" s="156"/>
      <c r="I456" s="156"/>
      <c r="J456" s="174"/>
      <c r="K456" s="173"/>
      <c r="L456" s="173"/>
      <c r="M456" s="174"/>
      <c r="N456" s="174"/>
      <c r="P456" s="144" t="str">
        <f t="shared" si="42"/>
        <v/>
      </c>
      <c r="Q456" s="144" t="str">
        <f t="shared" si="43"/>
        <v/>
      </c>
    </row>
    <row r="457" spans="1:17">
      <c r="A457" s="153"/>
      <c r="B457" s="148" t="str">
        <f t="shared" si="40"/>
        <v/>
      </c>
      <c r="C457" s="153"/>
      <c r="D457" s="148" t="str">
        <f t="shared" si="39"/>
        <v/>
      </c>
      <c r="E457" s="159"/>
      <c r="F457" s="148" t="str">
        <f t="shared" si="41"/>
        <v/>
      </c>
      <c r="G457" s="156"/>
      <c r="H457" s="156"/>
      <c r="I457" s="156"/>
      <c r="J457" s="174"/>
      <c r="K457" s="173"/>
      <c r="L457" s="173"/>
      <c r="M457" s="174"/>
      <c r="N457" s="174"/>
      <c r="P457" s="144" t="str">
        <f t="shared" si="42"/>
        <v/>
      </c>
      <c r="Q457" s="144" t="str">
        <f t="shared" si="43"/>
        <v/>
      </c>
    </row>
    <row r="458" spans="1:17">
      <c r="A458" s="153"/>
      <c r="B458" s="148" t="str">
        <f t="shared" si="40"/>
        <v/>
      </c>
      <c r="C458" s="153"/>
      <c r="D458" s="148" t="str">
        <f t="shared" si="39"/>
        <v/>
      </c>
      <c r="E458" s="159"/>
      <c r="F458" s="148" t="str">
        <f t="shared" si="41"/>
        <v/>
      </c>
      <c r="G458" s="156"/>
      <c r="H458" s="156"/>
      <c r="I458" s="156"/>
      <c r="J458" s="174"/>
      <c r="K458" s="173"/>
      <c r="L458" s="173"/>
      <c r="M458" s="174"/>
      <c r="N458" s="174"/>
      <c r="P458" s="144" t="str">
        <f t="shared" si="42"/>
        <v/>
      </c>
      <c r="Q458" s="144" t="str">
        <f t="shared" si="43"/>
        <v/>
      </c>
    </row>
    <row r="459" spans="1:17">
      <c r="A459" s="153"/>
      <c r="B459" s="148" t="str">
        <f t="shared" si="40"/>
        <v/>
      </c>
      <c r="C459" s="153"/>
      <c r="D459" s="148" t="str">
        <f t="shared" si="39"/>
        <v/>
      </c>
      <c r="E459" s="159"/>
      <c r="F459" s="148" t="str">
        <f t="shared" si="41"/>
        <v/>
      </c>
      <c r="G459" s="156"/>
      <c r="H459" s="156"/>
      <c r="I459" s="156"/>
      <c r="J459" s="174"/>
      <c r="K459" s="173"/>
      <c r="L459" s="173"/>
      <c r="M459" s="174"/>
      <c r="N459" s="174"/>
      <c r="P459" s="144" t="str">
        <f t="shared" si="42"/>
        <v/>
      </c>
      <c r="Q459" s="144" t="str">
        <f t="shared" si="43"/>
        <v/>
      </c>
    </row>
    <row r="460" spans="1:17">
      <c r="A460" s="153"/>
      <c r="B460" s="148" t="str">
        <f t="shared" si="40"/>
        <v/>
      </c>
      <c r="C460" s="153"/>
      <c r="D460" s="148" t="str">
        <f t="shared" si="39"/>
        <v/>
      </c>
      <c r="E460" s="159"/>
      <c r="F460" s="148" t="str">
        <f t="shared" si="41"/>
        <v/>
      </c>
      <c r="G460" s="156"/>
      <c r="H460" s="156"/>
      <c r="I460" s="156"/>
      <c r="J460" s="174"/>
      <c r="K460" s="173"/>
      <c r="L460" s="173"/>
      <c r="M460" s="174"/>
      <c r="N460" s="174"/>
      <c r="P460" s="144" t="str">
        <f t="shared" si="42"/>
        <v/>
      </c>
      <c r="Q460" s="144" t="str">
        <f t="shared" si="43"/>
        <v/>
      </c>
    </row>
    <row r="461" spans="1:17">
      <c r="A461" s="153"/>
      <c r="B461" s="148" t="str">
        <f t="shared" si="40"/>
        <v/>
      </c>
      <c r="C461" s="153"/>
      <c r="D461" s="148" t="str">
        <f t="shared" si="39"/>
        <v/>
      </c>
      <c r="E461" s="159"/>
      <c r="F461" s="148" t="str">
        <f t="shared" si="41"/>
        <v/>
      </c>
      <c r="G461" s="156"/>
      <c r="H461" s="156"/>
      <c r="I461" s="156"/>
      <c r="J461" s="174"/>
      <c r="K461" s="173"/>
      <c r="L461" s="173"/>
      <c r="M461" s="174"/>
      <c r="N461" s="174"/>
      <c r="P461" s="144" t="str">
        <f t="shared" si="42"/>
        <v/>
      </c>
      <c r="Q461" s="144" t="str">
        <f t="shared" si="43"/>
        <v/>
      </c>
    </row>
    <row r="462" spans="1:17">
      <c r="A462" s="153"/>
      <c r="B462" s="148" t="str">
        <f t="shared" si="40"/>
        <v/>
      </c>
      <c r="C462" s="153"/>
      <c r="D462" s="148" t="str">
        <f t="shared" si="39"/>
        <v/>
      </c>
      <c r="E462" s="159"/>
      <c r="F462" s="148" t="str">
        <f t="shared" si="41"/>
        <v/>
      </c>
      <c r="G462" s="156"/>
      <c r="H462" s="156"/>
      <c r="I462" s="156"/>
      <c r="J462" s="174"/>
      <c r="K462" s="173"/>
      <c r="L462" s="173"/>
      <c r="M462" s="174"/>
      <c r="N462" s="174"/>
      <c r="P462" s="144" t="str">
        <f t="shared" si="42"/>
        <v/>
      </c>
      <c r="Q462" s="144" t="str">
        <f t="shared" si="43"/>
        <v/>
      </c>
    </row>
    <row r="463" spans="1:17">
      <c r="A463" s="153"/>
      <c r="B463" s="148" t="str">
        <f t="shared" si="40"/>
        <v/>
      </c>
      <c r="C463" s="153"/>
      <c r="D463" s="148" t="str">
        <f t="shared" si="39"/>
        <v/>
      </c>
      <c r="E463" s="159"/>
      <c r="F463" s="148" t="str">
        <f t="shared" si="41"/>
        <v/>
      </c>
      <c r="G463" s="156"/>
      <c r="H463" s="156"/>
      <c r="I463" s="156"/>
      <c r="J463" s="174"/>
      <c r="K463" s="173"/>
      <c r="L463" s="173"/>
      <c r="M463" s="174"/>
      <c r="N463" s="174"/>
      <c r="P463" s="144" t="str">
        <f t="shared" si="42"/>
        <v/>
      </c>
      <c r="Q463" s="144" t="str">
        <f t="shared" si="43"/>
        <v/>
      </c>
    </row>
    <row r="464" spans="1:17">
      <c r="A464" s="153"/>
      <c r="B464" s="148" t="str">
        <f t="shared" si="40"/>
        <v/>
      </c>
      <c r="C464" s="153"/>
      <c r="D464" s="148" t="str">
        <f t="shared" si="39"/>
        <v/>
      </c>
      <c r="E464" s="159"/>
      <c r="F464" s="148" t="str">
        <f t="shared" si="41"/>
        <v/>
      </c>
      <c r="G464" s="156"/>
      <c r="H464" s="156"/>
      <c r="I464" s="156"/>
      <c r="J464" s="174"/>
      <c r="K464" s="173"/>
      <c r="L464" s="173"/>
      <c r="M464" s="174"/>
      <c r="N464" s="174"/>
      <c r="P464" s="144" t="str">
        <f t="shared" si="42"/>
        <v/>
      </c>
      <c r="Q464" s="144" t="str">
        <f t="shared" si="43"/>
        <v/>
      </c>
    </row>
    <row r="465" spans="1:17">
      <c r="A465" s="153"/>
      <c r="B465" s="148" t="str">
        <f t="shared" si="40"/>
        <v/>
      </c>
      <c r="C465" s="153"/>
      <c r="D465" s="148" t="str">
        <f t="shared" si="39"/>
        <v/>
      </c>
      <c r="E465" s="159"/>
      <c r="F465" s="148" t="str">
        <f t="shared" si="41"/>
        <v/>
      </c>
      <c r="G465" s="156"/>
      <c r="H465" s="156"/>
      <c r="I465" s="156"/>
      <c r="J465" s="174"/>
      <c r="K465" s="173"/>
      <c r="L465" s="173"/>
      <c r="M465" s="174"/>
      <c r="N465" s="174"/>
      <c r="P465" s="144" t="str">
        <f t="shared" si="42"/>
        <v/>
      </c>
      <c r="Q465" s="144" t="str">
        <f t="shared" si="43"/>
        <v/>
      </c>
    </row>
    <row r="466" spans="1:17">
      <c r="A466" s="153"/>
      <c r="B466" s="148" t="str">
        <f t="shared" si="40"/>
        <v/>
      </c>
      <c r="C466" s="153"/>
      <c r="D466" s="148" t="str">
        <f t="shared" si="39"/>
        <v/>
      </c>
      <c r="E466" s="159"/>
      <c r="F466" s="148" t="str">
        <f t="shared" si="41"/>
        <v/>
      </c>
      <c r="G466" s="156"/>
      <c r="H466" s="156"/>
      <c r="I466" s="156"/>
      <c r="J466" s="174"/>
      <c r="K466" s="173"/>
      <c r="L466" s="173"/>
      <c r="M466" s="174"/>
      <c r="N466" s="174"/>
      <c r="P466" s="144" t="str">
        <f t="shared" si="42"/>
        <v/>
      </c>
      <c r="Q466" s="144" t="str">
        <f t="shared" si="43"/>
        <v/>
      </c>
    </row>
    <row r="467" spans="1:17">
      <c r="A467" s="153"/>
      <c r="B467" s="148" t="str">
        <f t="shared" si="40"/>
        <v/>
      </c>
      <c r="C467" s="153"/>
      <c r="D467" s="148" t="str">
        <f t="shared" si="39"/>
        <v/>
      </c>
      <c r="E467" s="159"/>
      <c r="F467" s="148" t="str">
        <f t="shared" si="41"/>
        <v/>
      </c>
      <c r="G467" s="156"/>
      <c r="H467" s="156"/>
      <c r="I467" s="156"/>
      <c r="J467" s="174"/>
      <c r="K467" s="173"/>
      <c r="L467" s="173"/>
      <c r="M467" s="174"/>
      <c r="N467" s="174"/>
      <c r="P467" s="144" t="str">
        <f t="shared" si="42"/>
        <v/>
      </c>
      <c r="Q467" s="144" t="str">
        <f t="shared" si="43"/>
        <v/>
      </c>
    </row>
    <row r="468" spans="1:17">
      <c r="A468" s="153"/>
      <c r="B468" s="148" t="str">
        <f t="shared" si="40"/>
        <v/>
      </c>
      <c r="C468" s="153"/>
      <c r="D468" s="148" t="str">
        <f t="shared" si="39"/>
        <v/>
      </c>
      <c r="E468" s="159"/>
      <c r="F468" s="148" t="str">
        <f t="shared" si="41"/>
        <v/>
      </c>
      <c r="G468" s="156"/>
      <c r="H468" s="156"/>
      <c r="I468" s="156"/>
      <c r="J468" s="174"/>
      <c r="K468" s="173"/>
      <c r="L468" s="173"/>
      <c r="M468" s="174"/>
      <c r="N468" s="174"/>
      <c r="P468" s="144" t="str">
        <f t="shared" si="42"/>
        <v/>
      </c>
      <c r="Q468" s="144" t="str">
        <f t="shared" si="43"/>
        <v/>
      </c>
    </row>
    <row r="469" spans="1:17">
      <c r="A469" s="153"/>
      <c r="B469" s="148" t="str">
        <f t="shared" si="40"/>
        <v/>
      </c>
      <c r="C469" s="153"/>
      <c r="D469" s="148" t="str">
        <f t="shared" si="39"/>
        <v/>
      </c>
      <c r="E469" s="159"/>
      <c r="F469" s="148" t="str">
        <f t="shared" si="41"/>
        <v/>
      </c>
      <c r="G469" s="156"/>
      <c r="H469" s="156"/>
      <c r="I469" s="156"/>
      <c r="J469" s="174"/>
      <c r="K469" s="173"/>
      <c r="L469" s="173"/>
      <c r="M469" s="174"/>
      <c r="N469" s="174"/>
      <c r="P469" s="144" t="str">
        <f t="shared" si="42"/>
        <v/>
      </c>
      <c r="Q469" s="144" t="str">
        <f t="shared" si="43"/>
        <v/>
      </c>
    </row>
    <row r="470" spans="1:17">
      <c r="A470" s="153"/>
      <c r="B470" s="148" t="str">
        <f t="shared" si="40"/>
        <v/>
      </c>
      <c r="C470" s="153"/>
      <c r="D470" s="148" t="str">
        <f t="shared" si="39"/>
        <v/>
      </c>
      <c r="E470" s="159"/>
      <c r="F470" s="148" t="str">
        <f t="shared" si="41"/>
        <v/>
      </c>
      <c r="G470" s="156"/>
      <c r="H470" s="156"/>
      <c r="I470" s="156"/>
      <c r="J470" s="174"/>
      <c r="K470" s="173"/>
      <c r="L470" s="173"/>
      <c r="M470" s="174"/>
      <c r="N470" s="174"/>
      <c r="P470" s="144" t="str">
        <f t="shared" si="42"/>
        <v/>
      </c>
      <c r="Q470" s="144" t="str">
        <f t="shared" si="43"/>
        <v/>
      </c>
    </row>
    <row r="471" spans="1:17">
      <c r="A471" s="153"/>
      <c r="B471" s="148" t="str">
        <f t="shared" si="40"/>
        <v/>
      </c>
      <c r="C471" s="153"/>
      <c r="D471" s="148" t="str">
        <f t="shared" si="39"/>
        <v/>
      </c>
      <c r="E471" s="159"/>
      <c r="F471" s="148" t="str">
        <f t="shared" si="41"/>
        <v/>
      </c>
      <c r="G471" s="156"/>
      <c r="H471" s="156"/>
      <c r="I471" s="156"/>
      <c r="J471" s="174"/>
      <c r="K471" s="173"/>
      <c r="L471" s="173"/>
      <c r="M471" s="174"/>
      <c r="N471" s="174"/>
      <c r="P471" s="144" t="str">
        <f t="shared" si="42"/>
        <v/>
      </c>
      <c r="Q471" s="144" t="str">
        <f t="shared" si="43"/>
        <v/>
      </c>
    </row>
    <row r="472" spans="1:17">
      <c r="A472" s="153"/>
      <c r="B472" s="148" t="str">
        <f t="shared" si="40"/>
        <v/>
      </c>
      <c r="C472" s="153"/>
      <c r="D472" s="148" t="str">
        <f t="shared" si="39"/>
        <v/>
      </c>
      <c r="E472" s="159"/>
      <c r="F472" s="148" t="str">
        <f t="shared" si="41"/>
        <v/>
      </c>
      <c r="G472" s="156"/>
      <c r="H472" s="156"/>
      <c r="I472" s="156"/>
      <c r="J472" s="174"/>
      <c r="K472" s="173"/>
      <c r="L472" s="173"/>
      <c r="M472" s="174"/>
      <c r="N472" s="174"/>
      <c r="P472" s="144" t="str">
        <f t="shared" si="42"/>
        <v/>
      </c>
      <c r="Q472" s="144" t="str">
        <f t="shared" si="43"/>
        <v/>
      </c>
    </row>
    <row r="473" spans="1:17">
      <c r="A473" s="153"/>
      <c r="B473" s="148" t="str">
        <f t="shared" si="40"/>
        <v/>
      </c>
      <c r="C473" s="153"/>
      <c r="D473" s="148" t="str">
        <f t="shared" si="39"/>
        <v/>
      </c>
      <c r="E473" s="159"/>
      <c r="F473" s="148" t="str">
        <f t="shared" si="41"/>
        <v/>
      </c>
      <c r="G473" s="156"/>
      <c r="H473" s="156"/>
      <c r="I473" s="156"/>
      <c r="J473" s="174"/>
      <c r="K473" s="173"/>
      <c r="L473" s="173"/>
      <c r="M473" s="174"/>
      <c r="N473" s="174"/>
      <c r="P473" s="144" t="str">
        <f t="shared" si="42"/>
        <v/>
      </c>
      <c r="Q473" s="144" t="str">
        <f t="shared" si="43"/>
        <v/>
      </c>
    </row>
    <row r="474" spans="1:17">
      <c r="A474" s="153"/>
      <c r="B474" s="148" t="str">
        <f t="shared" si="40"/>
        <v/>
      </c>
      <c r="C474" s="153"/>
      <c r="D474" s="148" t="str">
        <f t="shared" si="39"/>
        <v/>
      </c>
      <c r="E474" s="159"/>
      <c r="F474" s="148" t="str">
        <f t="shared" si="41"/>
        <v/>
      </c>
      <c r="G474" s="156"/>
      <c r="H474" s="156"/>
      <c r="I474" s="156"/>
      <c r="J474" s="174"/>
      <c r="K474" s="173"/>
      <c r="L474" s="173"/>
      <c r="M474" s="174"/>
      <c r="N474" s="174"/>
      <c r="P474" s="144" t="str">
        <f t="shared" si="42"/>
        <v/>
      </c>
      <c r="Q474" s="144" t="str">
        <f t="shared" si="43"/>
        <v/>
      </c>
    </row>
    <row r="475" spans="1:17">
      <c r="A475" s="153"/>
      <c r="B475" s="148" t="str">
        <f t="shared" si="40"/>
        <v/>
      </c>
      <c r="C475" s="153"/>
      <c r="D475" s="148" t="str">
        <f t="shared" si="39"/>
        <v/>
      </c>
      <c r="E475" s="159"/>
      <c r="F475" s="148" t="str">
        <f t="shared" si="41"/>
        <v/>
      </c>
      <c r="G475" s="156"/>
      <c r="H475" s="156"/>
      <c r="I475" s="156"/>
      <c r="J475" s="174"/>
      <c r="K475" s="173"/>
      <c r="L475" s="173"/>
      <c r="M475" s="174"/>
      <c r="N475" s="174"/>
      <c r="P475" s="144" t="str">
        <f t="shared" si="42"/>
        <v/>
      </c>
      <c r="Q475" s="144" t="str">
        <f t="shared" si="43"/>
        <v/>
      </c>
    </row>
    <row r="476" spans="1:17">
      <c r="A476" s="153"/>
      <c r="B476" s="148" t="str">
        <f t="shared" si="40"/>
        <v/>
      </c>
      <c r="C476" s="153"/>
      <c r="D476" s="148" t="str">
        <f t="shared" si="39"/>
        <v/>
      </c>
      <c r="E476" s="159"/>
      <c r="F476" s="148" t="str">
        <f t="shared" si="41"/>
        <v/>
      </c>
      <c r="G476" s="156"/>
      <c r="H476" s="156"/>
      <c r="I476" s="156"/>
      <c r="J476" s="174"/>
      <c r="K476" s="173"/>
      <c r="L476" s="173"/>
      <c r="M476" s="174"/>
      <c r="N476" s="174"/>
      <c r="P476" s="144" t="str">
        <f t="shared" si="42"/>
        <v/>
      </c>
      <c r="Q476" s="144" t="str">
        <f t="shared" si="43"/>
        <v/>
      </c>
    </row>
    <row r="477" spans="1:17">
      <c r="A477" s="153"/>
      <c r="B477" s="148" t="str">
        <f t="shared" si="40"/>
        <v/>
      </c>
      <c r="C477" s="153"/>
      <c r="D477" s="148" t="str">
        <f t="shared" si="39"/>
        <v/>
      </c>
      <c r="E477" s="159"/>
      <c r="F477" s="148" t="str">
        <f t="shared" si="41"/>
        <v/>
      </c>
      <c r="G477" s="156"/>
      <c r="H477" s="156"/>
      <c r="I477" s="156"/>
      <c r="J477" s="174"/>
      <c r="K477" s="173"/>
      <c r="L477" s="173"/>
      <c r="M477" s="174"/>
      <c r="N477" s="174"/>
      <c r="P477" s="144" t="str">
        <f t="shared" si="42"/>
        <v/>
      </c>
      <c r="Q477" s="144" t="str">
        <f t="shared" si="43"/>
        <v/>
      </c>
    </row>
    <row r="478" spans="1:17">
      <c r="A478" s="153"/>
      <c r="B478" s="148" t="str">
        <f t="shared" si="40"/>
        <v/>
      </c>
      <c r="C478" s="153"/>
      <c r="D478" s="148" t="str">
        <f t="shared" si="39"/>
        <v/>
      </c>
      <c r="E478" s="159"/>
      <c r="F478" s="148" t="str">
        <f t="shared" si="41"/>
        <v/>
      </c>
      <c r="G478" s="156"/>
      <c r="H478" s="156"/>
      <c r="I478" s="156"/>
      <c r="J478" s="174"/>
      <c r="K478" s="173"/>
      <c r="L478" s="173"/>
      <c r="M478" s="174"/>
      <c r="N478" s="174"/>
      <c r="P478" s="144" t="str">
        <f t="shared" si="42"/>
        <v/>
      </c>
      <c r="Q478" s="144" t="str">
        <f t="shared" si="43"/>
        <v/>
      </c>
    </row>
    <row r="479" spans="1:17">
      <c r="A479" s="153"/>
      <c r="B479" s="148" t="str">
        <f t="shared" si="40"/>
        <v/>
      </c>
      <c r="C479" s="153"/>
      <c r="D479" s="148" t="str">
        <f t="shared" si="39"/>
        <v/>
      </c>
      <c r="E479" s="159"/>
      <c r="F479" s="148" t="str">
        <f t="shared" si="41"/>
        <v/>
      </c>
      <c r="G479" s="156"/>
      <c r="H479" s="156"/>
      <c r="I479" s="156"/>
      <c r="J479" s="174"/>
      <c r="K479" s="173"/>
      <c r="L479" s="173"/>
      <c r="M479" s="174"/>
      <c r="N479" s="174"/>
      <c r="P479" s="144" t="str">
        <f t="shared" si="42"/>
        <v/>
      </c>
      <c r="Q479" s="144" t="str">
        <f t="shared" si="43"/>
        <v/>
      </c>
    </row>
    <row r="480" spans="1:17">
      <c r="A480" s="153"/>
      <c r="B480" s="148" t="str">
        <f t="shared" si="40"/>
        <v/>
      </c>
      <c r="C480" s="153"/>
      <c r="D480" s="148" t="str">
        <f t="shared" si="39"/>
        <v/>
      </c>
      <c r="E480" s="159"/>
      <c r="F480" s="148" t="str">
        <f t="shared" si="41"/>
        <v/>
      </c>
      <c r="G480" s="156"/>
      <c r="H480" s="156"/>
      <c r="I480" s="156"/>
      <c r="J480" s="174"/>
      <c r="K480" s="173"/>
      <c r="L480" s="173"/>
      <c r="M480" s="174"/>
      <c r="N480" s="174"/>
      <c r="P480" s="144" t="str">
        <f t="shared" si="42"/>
        <v/>
      </c>
      <c r="Q480" s="144" t="str">
        <f t="shared" si="43"/>
        <v/>
      </c>
    </row>
    <row r="481" spans="1:17">
      <c r="A481" s="153"/>
      <c r="B481" s="148" t="str">
        <f t="shared" si="40"/>
        <v/>
      </c>
      <c r="C481" s="153"/>
      <c r="D481" s="148" t="str">
        <f t="shared" si="39"/>
        <v/>
      </c>
      <c r="E481" s="159"/>
      <c r="F481" s="148" t="str">
        <f t="shared" si="41"/>
        <v/>
      </c>
      <c r="G481" s="156"/>
      <c r="H481" s="156"/>
      <c r="I481" s="156"/>
      <c r="J481" s="174"/>
      <c r="K481" s="173"/>
      <c r="L481" s="173"/>
      <c r="M481" s="174"/>
      <c r="N481" s="174"/>
      <c r="P481" s="144" t="str">
        <f t="shared" si="42"/>
        <v/>
      </c>
      <c r="Q481" s="144" t="str">
        <f t="shared" si="43"/>
        <v/>
      </c>
    </row>
    <row r="482" spans="1:17">
      <c r="A482" s="153"/>
      <c r="B482" s="148" t="str">
        <f t="shared" si="40"/>
        <v/>
      </c>
      <c r="C482" s="153"/>
      <c r="D482" s="148" t="str">
        <f t="shared" si="39"/>
        <v/>
      </c>
      <c r="E482" s="159"/>
      <c r="F482" s="148" t="str">
        <f t="shared" si="41"/>
        <v/>
      </c>
      <c r="G482" s="156"/>
      <c r="H482" s="156"/>
      <c r="I482" s="156"/>
      <c r="J482" s="174"/>
      <c r="K482" s="173"/>
      <c r="L482" s="173"/>
      <c r="M482" s="174"/>
      <c r="N482" s="174"/>
      <c r="P482" s="144" t="str">
        <f t="shared" si="42"/>
        <v/>
      </c>
      <c r="Q482" s="144" t="str">
        <f t="shared" si="43"/>
        <v/>
      </c>
    </row>
    <row r="483" spans="1:17">
      <c r="A483" s="153"/>
      <c r="B483" s="148" t="str">
        <f t="shared" si="40"/>
        <v/>
      </c>
      <c r="C483" s="153"/>
      <c r="D483" s="148" t="str">
        <f t="shared" si="39"/>
        <v/>
      </c>
      <c r="E483" s="159"/>
      <c r="F483" s="148" t="str">
        <f t="shared" si="41"/>
        <v/>
      </c>
      <c r="G483" s="156"/>
      <c r="H483" s="156"/>
      <c r="I483" s="156"/>
      <c r="J483" s="174"/>
      <c r="K483" s="173"/>
      <c r="L483" s="173"/>
      <c r="M483" s="174"/>
      <c r="N483" s="174"/>
      <c r="P483" s="144" t="str">
        <f t="shared" si="42"/>
        <v/>
      </c>
      <c r="Q483" s="144" t="str">
        <f t="shared" si="43"/>
        <v/>
      </c>
    </row>
    <row r="484" spans="1:17">
      <c r="A484" s="153"/>
      <c r="B484" s="148" t="str">
        <f t="shared" si="40"/>
        <v/>
      </c>
      <c r="C484" s="153"/>
      <c r="D484" s="148" t="str">
        <f t="shared" si="39"/>
        <v/>
      </c>
      <c r="E484" s="159"/>
      <c r="F484" s="148" t="str">
        <f t="shared" si="41"/>
        <v/>
      </c>
      <c r="G484" s="156"/>
      <c r="H484" s="156"/>
      <c r="I484" s="156"/>
      <c r="J484" s="174"/>
      <c r="K484" s="173"/>
      <c r="L484" s="173"/>
      <c r="M484" s="174"/>
      <c r="N484" s="174"/>
      <c r="P484" s="144" t="str">
        <f t="shared" si="42"/>
        <v/>
      </c>
      <c r="Q484" s="144" t="str">
        <f t="shared" si="43"/>
        <v/>
      </c>
    </row>
    <row r="485" spans="1:17">
      <c r="A485" s="153"/>
      <c r="B485" s="148" t="str">
        <f t="shared" si="40"/>
        <v/>
      </c>
      <c r="C485" s="153"/>
      <c r="D485" s="148" t="str">
        <f t="shared" si="39"/>
        <v/>
      </c>
      <c r="E485" s="159"/>
      <c r="F485" s="148" t="str">
        <f t="shared" si="41"/>
        <v/>
      </c>
      <c r="G485" s="156"/>
      <c r="H485" s="156"/>
      <c r="I485" s="156"/>
      <c r="J485" s="174"/>
      <c r="K485" s="173"/>
      <c r="L485" s="173"/>
      <c r="M485" s="174"/>
      <c r="N485" s="174"/>
      <c r="P485" s="144" t="str">
        <f t="shared" si="42"/>
        <v/>
      </c>
      <c r="Q485" s="144" t="str">
        <f t="shared" si="43"/>
        <v/>
      </c>
    </row>
    <row r="486" spans="1:17">
      <c r="A486" s="153"/>
      <c r="B486" s="148" t="str">
        <f t="shared" si="40"/>
        <v/>
      </c>
      <c r="C486" s="153"/>
      <c r="D486" s="148" t="str">
        <f t="shared" si="39"/>
        <v/>
      </c>
      <c r="E486" s="159"/>
      <c r="F486" s="148" t="str">
        <f t="shared" si="41"/>
        <v/>
      </c>
      <c r="G486" s="156"/>
      <c r="H486" s="156"/>
      <c r="I486" s="156"/>
      <c r="J486" s="174"/>
      <c r="K486" s="173"/>
      <c r="L486" s="173"/>
      <c r="M486" s="174"/>
      <c r="N486" s="174"/>
      <c r="P486" s="144" t="str">
        <f t="shared" si="42"/>
        <v/>
      </c>
      <c r="Q486" s="144" t="str">
        <f t="shared" si="43"/>
        <v/>
      </c>
    </row>
    <row r="487" spans="1:17">
      <c r="A487" s="153"/>
      <c r="B487" s="148" t="str">
        <f t="shared" si="40"/>
        <v/>
      </c>
      <c r="C487" s="153"/>
      <c r="D487" s="148" t="str">
        <f t="shared" si="39"/>
        <v/>
      </c>
      <c r="E487" s="159"/>
      <c r="F487" s="148" t="str">
        <f t="shared" si="41"/>
        <v/>
      </c>
      <c r="G487" s="156"/>
      <c r="H487" s="156"/>
      <c r="I487" s="156"/>
      <c r="J487" s="174"/>
      <c r="K487" s="173"/>
      <c r="L487" s="173"/>
      <c r="M487" s="174"/>
      <c r="N487" s="174"/>
      <c r="P487" s="144" t="str">
        <f t="shared" si="42"/>
        <v/>
      </c>
      <c r="Q487" s="144" t="str">
        <f t="shared" si="43"/>
        <v/>
      </c>
    </row>
    <row r="488" spans="1:17">
      <c r="A488" s="153"/>
      <c r="B488" s="148" t="str">
        <f t="shared" si="40"/>
        <v/>
      </c>
      <c r="C488" s="153"/>
      <c r="D488" s="148" t="str">
        <f t="shared" si="39"/>
        <v/>
      </c>
      <c r="E488" s="159"/>
      <c r="F488" s="148" t="str">
        <f t="shared" si="41"/>
        <v/>
      </c>
      <c r="G488" s="156"/>
      <c r="H488" s="156"/>
      <c r="I488" s="156"/>
      <c r="J488" s="174"/>
      <c r="K488" s="173"/>
      <c r="L488" s="173"/>
      <c r="M488" s="174"/>
      <c r="N488" s="174"/>
      <c r="P488" s="144" t="str">
        <f t="shared" si="42"/>
        <v/>
      </c>
      <c r="Q488" s="144" t="str">
        <f t="shared" si="43"/>
        <v/>
      </c>
    </row>
    <row r="489" spans="1:17">
      <c r="A489" s="153"/>
      <c r="B489" s="148" t="str">
        <f t="shared" si="40"/>
        <v/>
      </c>
      <c r="C489" s="153"/>
      <c r="D489" s="148" t="str">
        <f t="shared" si="39"/>
        <v/>
      </c>
      <c r="E489" s="159"/>
      <c r="F489" s="148" t="str">
        <f t="shared" si="41"/>
        <v/>
      </c>
      <c r="G489" s="156"/>
      <c r="H489" s="156"/>
      <c r="I489" s="156"/>
      <c r="J489" s="174"/>
      <c r="K489" s="173"/>
      <c r="L489" s="173"/>
      <c r="M489" s="174"/>
      <c r="N489" s="174"/>
      <c r="P489" s="144" t="str">
        <f t="shared" si="42"/>
        <v/>
      </c>
      <c r="Q489" s="144" t="str">
        <f t="shared" si="43"/>
        <v/>
      </c>
    </row>
    <row r="490" spans="1:17">
      <c r="A490" s="153"/>
      <c r="B490" s="148" t="str">
        <f t="shared" si="40"/>
        <v/>
      </c>
      <c r="C490" s="153"/>
      <c r="D490" s="148" t="str">
        <f t="shared" si="39"/>
        <v/>
      </c>
      <c r="E490" s="159"/>
      <c r="F490" s="148" t="str">
        <f t="shared" si="41"/>
        <v/>
      </c>
      <c r="G490" s="156"/>
      <c r="H490" s="156"/>
      <c r="I490" s="156"/>
      <c r="J490" s="174"/>
      <c r="K490" s="173"/>
      <c r="L490" s="173"/>
      <c r="M490" s="174"/>
      <c r="N490" s="174"/>
      <c r="P490" s="144" t="str">
        <f t="shared" si="42"/>
        <v/>
      </c>
      <c r="Q490" s="144" t="str">
        <f t="shared" si="43"/>
        <v/>
      </c>
    </row>
    <row r="491" spans="1:17">
      <c r="A491" s="153"/>
      <c r="B491" s="148" t="str">
        <f t="shared" si="40"/>
        <v/>
      </c>
      <c r="C491" s="153"/>
      <c r="D491" s="148" t="str">
        <f t="shared" si="39"/>
        <v/>
      </c>
      <c r="E491" s="159"/>
      <c r="F491" s="148" t="str">
        <f t="shared" si="41"/>
        <v/>
      </c>
      <c r="G491" s="156"/>
      <c r="H491" s="156"/>
      <c r="I491" s="156"/>
      <c r="J491" s="174"/>
      <c r="K491" s="173"/>
      <c r="L491" s="173"/>
      <c r="M491" s="174"/>
      <c r="N491" s="174"/>
      <c r="P491" s="144" t="str">
        <f t="shared" si="42"/>
        <v/>
      </c>
      <c r="Q491" s="144" t="str">
        <f t="shared" si="43"/>
        <v/>
      </c>
    </row>
    <row r="492" spans="1:17">
      <c r="A492" s="153"/>
      <c r="B492" s="148" t="str">
        <f t="shared" si="40"/>
        <v/>
      </c>
      <c r="C492" s="153"/>
      <c r="D492" s="148" t="str">
        <f t="shared" si="39"/>
        <v/>
      </c>
      <c r="E492" s="159"/>
      <c r="F492" s="148" t="str">
        <f t="shared" si="41"/>
        <v/>
      </c>
      <c r="G492" s="156"/>
      <c r="H492" s="156"/>
      <c r="I492" s="156"/>
      <c r="J492" s="174"/>
      <c r="K492" s="173"/>
      <c r="L492" s="173"/>
      <c r="M492" s="174"/>
      <c r="N492" s="174"/>
      <c r="P492" s="144" t="str">
        <f t="shared" si="42"/>
        <v/>
      </c>
      <c r="Q492" s="144" t="str">
        <f t="shared" si="43"/>
        <v/>
      </c>
    </row>
    <row r="493" spans="1:17">
      <c r="A493" s="153"/>
      <c r="B493" s="148" t="str">
        <f t="shared" si="40"/>
        <v/>
      </c>
      <c r="C493" s="153"/>
      <c r="D493" s="148" t="str">
        <f t="shared" si="39"/>
        <v/>
      </c>
      <c r="E493" s="159"/>
      <c r="F493" s="148" t="str">
        <f t="shared" si="41"/>
        <v/>
      </c>
      <c r="G493" s="156"/>
      <c r="H493" s="156"/>
      <c r="I493" s="156"/>
      <c r="J493" s="174"/>
      <c r="K493" s="173"/>
      <c r="L493" s="173"/>
      <c r="M493" s="174"/>
      <c r="N493" s="174"/>
      <c r="P493" s="144" t="str">
        <f t="shared" si="42"/>
        <v/>
      </c>
      <c r="Q493" s="144" t="str">
        <f t="shared" si="43"/>
        <v/>
      </c>
    </row>
    <row r="494" spans="1:17">
      <c r="A494" s="153"/>
      <c r="B494" s="148" t="str">
        <f t="shared" si="40"/>
        <v/>
      </c>
      <c r="C494" s="153"/>
      <c r="D494" s="148" t="str">
        <f t="shared" si="39"/>
        <v/>
      </c>
      <c r="E494" s="159"/>
      <c r="F494" s="148" t="str">
        <f t="shared" si="41"/>
        <v/>
      </c>
      <c r="G494" s="156"/>
      <c r="H494" s="156"/>
      <c r="I494" s="156"/>
      <c r="J494" s="174"/>
      <c r="K494" s="173"/>
      <c r="L494" s="173"/>
      <c r="M494" s="174"/>
      <c r="N494" s="174"/>
      <c r="P494" s="144" t="str">
        <f t="shared" si="42"/>
        <v/>
      </c>
      <c r="Q494" s="144" t="str">
        <f t="shared" si="43"/>
        <v/>
      </c>
    </row>
    <row r="495" spans="1:17">
      <c r="A495" s="153"/>
      <c r="B495" s="148" t="str">
        <f t="shared" si="40"/>
        <v/>
      </c>
      <c r="C495" s="153"/>
      <c r="D495" s="148" t="str">
        <f t="shared" si="39"/>
        <v/>
      </c>
      <c r="E495" s="159"/>
      <c r="F495" s="148" t="str">
        <f t="shared" si="41"/>
        <v/>
      </c>
      <c r="G495" s="156"/>
      <c r="H495" s="156"/>
      <c r="I495" s="156"/>
      <c r="J495" s="174"/>
      <c r="K495" s="173"/>
      <c r="L495" s="173"/>
      <c r="M495" s="174"/>
      <c r="N495" s="174"/>
      <c r="P495" s="144" t="str">
        <f t="shared" si="42"/>
        <v/>
      </c>
      <c r="Q495" s="144" t="str">
        <f t="shared" si="43"/>
        <v/>
      </c>
    </row>
    <row r="496" spans="1:17">
      <c r="A496" s="153"/>
      <c r="B496" s="148" t="str">
        <f t="shared" si="40"/>
        <v/>
      </c>
      <c r="C496" s="153"/>
      <c r="D496" s="148" t="str">
        <f t="shared" si="39"/>
        <v/>
      </c>
      <c r="E496" s="159"/>
      <c r="F496" s="148" t="str">
        <f t="shared" si="41"/>
        <v/>
      </c>
      <c r="G496" s="156"/>
      <c r="H496" s="156"/>
      <c r="I496" s="156"/>
      <c r="J496" s="174"/>
      <c r="K496" s="173"/>
      <c r="L496" s="173"/>
      <c r="M496" s="174"/>
      <c r="N496" s="174"/>
      <c r="P496" s="144" t="str">
        <f t="shared" si="42"/>
        <v/>
      </c>
      <c r="Q496" s="144" t="str">
        <f t="shared" si="43"/>
        <v/>
      </c>
    </row>
    <row r="497" spans="1:17">
      <c r="A497" s="153"/>
      <c r="B497" s="148" t="str">
        <f t="shared" si="40"/>
        <v/>
      </c>
      <c r="C497" s="153"/>
      <c r="D497" s="148" t="str">
        <f t="shared" si="39"/>
        <v/>
      </c>
      <c r="E497" s="159"/>
      <c r="F497" s="148" t="str">
        <f t="shared" si="41"/>
        <v/>
      </c>
      <c r="G497" s="156"/>
      <c r="H497" s="156"/>
      <c r="I497" s="156"/>
      <c r="J497" s="174"/>
      <c r="K497" s="173"/>
      <c r="L497" s="173"/>
      <c r="M497" s="174"/>
      <c r="N497" s="174"/>
      <c r="P497" s="144" t="str">
        <f t="shared" si="42"/>
        <v/>
      </c>
      <c r="Q497" s="144" t="str">
        <f t="shared" si="43"/>
        <v/>
      </c>
    </row>
    <row r="498" spans="1:17">
      <c r="A498" s="153"/>
      <c r="B498" s="148" t="str">
        <f t="shared" si="40"/>
        <v/>
      </c>
      <c r="C498" s="153"/>
      <c r="D498" s="148" t="str">
        <f t="shared" si="39"/>
        <v/>
      </c>
      <c r="E498" s="159"/>
      <c r="F498" s="148" t="str">
        <f t="shared" si="41"/>
        <v/>
      </c>
      <c r="G498" s="156"/>
      <c r="H498" s="156"/>
      <c r="I498" s="156"/>
      <c r="J498" s="174"/>
      <c r="K498" s="173"/>
      <c r="L498" s="173"/>
      <c r="M498" s="174"/>
      <c r="N498" s="174"/>
      <c r="P498" s="144" t="str">
        <f t="shared" si="42"/>
        <v/>
      </c>
      <c r="Q498" s="144" t="str">
        <f t="shared" si="43"/>
        <v/>
      </c>
    </row>
    <row r="499" spans="1:17">
      <c r="A499" s="153"/>
      <c r="B499" s="148" t="str">
        <f t="shared" si="40"/>
        <v/>
      </c>
      <c r="C499" s="153"/>
      <c r="D499" s="148" t="str">
        <f t="shared" si="39"/>
        <v/>
      </c>
      <c r="E499" s="159"/>
      <c r="F499" s="148" t="str">
        <f t="shared" si="41"/>
        <v/>
      </c>
      <c r="G499" s="156"/>
      <c r="H499" s="156"/>
      <c r="I499" s="156"/>
      <c r="J499" s="174"/>
      <c r="K499" s="173"/>
      <c r="L499" s="173"/>
      <c r="M499" s="174"/>
      <c r="N499" s="174"/>
      <c r="P499" s="144" t="str">
        <f t="shared" si="42"/>
        <v/>
      </c>
      <c r="Q499" s="144" t="str">
        <f t="shared" si="43"/>
        <v/>
      </c>
    </row>
    <row r="500" spans="1:17">
      <c r="A500" s="153"/>
      <c r="B500" s="148" t="str">
        <f t="shared" si="40"/>
        <v/>
      </c>
      <c r="C500" s="153"/>
      <c r="D500" s="148" t="str">
        <f t="shared" si="39"/>
        <v/>
      </c>
      <c r="E500" s="159"/>
      <c r="F500" s="148" t="str">
        <f t="shared" si="41"/>
        <v/>
      </c>
      <c r="G500" s="156"/>
      <c r="H500" s="156"/>
      <c r="I500" s="156"/>
      <c r="J500" s="174"/>
      <c r="K500" s="173"/>
      <c r="L500" s="173"/>
      <c r="M500" s="174"/>
      <c r="N500" s="174"/>
      <c r="P500" s="144" t="str">
        <f t="shared" si="42"/>
        <v/>
      </c>
      <c r="Q500" s="144" t="str">
        <f t="shared" si="43"/>
        <v/>
      </c>
    </row>
    <row r="501" spans="1:17">
      <c r="A501" s="153"/>
      <c r="B501" s="148" t="str">
        <f t="shared" si="40"/>
        <v/>
      </c>
      <c r="C501" s="153"/>
      <c r="D501" s="148" t="str">
        <f t="shared" si="39"/>
        <v/>
      </c>
      <c r="E501" s="159"/>
      <c r="F501" s="148" t="str">
        <f t="shared" si="41"/>
        <v/>
      </c>
      <c r="G501" s="156"/>
      <c r="H501" s="156"/>
      <c r="I501" s="156"/>
      <c r="J501" s="174"/>
      <c r="K501" s="173"/>
      <c r="L501" s="173"/>
      <c r="M501" s="174"/>
      <c r="N501" s="174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B198"/>
  <sheetViews>
    <sheetView workbookViewId="0">
      <selection activeCell="B36" sqref="B36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180" t="s">
        <v>842</v>
      </c>
      <c r="B1" s="181" t="s">
        <v>375</v>
      </c>
    </row>
    <row r="2" spans="1:2" s="188" customFormat="1" hidden="1">
      <c r="A2" s="186" t="s">
        <v>878</v>
      </c>
      <c r="B2" s="187" t="s">
        <v>879</v>
      </c>
    </row>
    <row r="3" spans="1:2" hidden="1">
      <c r="A3" s="178" t="s">
        <v>874</v>
      </c>
      <c r="B3" s="179" t="s">
        <v>875</v>
      </c>
    </row>
    <row r="4" spans="1:2" hidden="1">
      <c r="A4" s="182" t="s">
        <v>876</v>
      </c>
      <c r="B4" s="183" t="s">
        <v>877</v>
      </c>
    </row>
    <row r="5" spans="1:2" hidden="1">
      <c r="A5" s="184" t="s">
        <v>880</v>
      </c>
      <c r="B5" s="185" t="s">
        <v>881</v>
      </c>
    </row>
    <row r="6" spans="1:2" hidden="1">
      <c r="A6" s="184" t="s">
        <v>882</v>
      </c>
      <c r="B6" s="185" t="s">
        <v>883</v>
      </c>
    </row>
    <row r="7" spans="1:2" hidden="1">
      <c r="A7" s="184" t="s">
        <v>884</v>
      </c>
      <c r="B7" s="185" t="s">
        <v>885</v>
      </c>
    </row>
    <row r="8" spans="1:2" hidden="1">
      <c r="A8" s="184" t="s">
        <v>886</v>
      </c>
      <c r="B8" s="185" t="s">
        <v>887</v>
      </c>
    </row>
    <row r="9" spans="1:2" hidden="1">
      <c r="A9" s="184" t="s">
        <v>888</v>
      </c>
      <c r="B9" s="185" t="s">
        <v>889</v>
      </c>
    </row>
    <row r="10" spans="1:2" hidden="1">
      <c r="A10" s="184" t="s">
        <v>890</v>
      </c>
      <c r="B10" s="185" t="s">
        <v>891</v>
      </c>
    </row>
    <row r="11" spans="1:2" hidden="1">
      <c r="A11" s="184" t="s">
        <v>892</v>
      </c>
      <c r="B11" s="185" t="s">
        <v>460</v>
      </c>
    </row>
    <row r="12" spans="1:2" hidden="1">
      <c r="A12" s="184" t="s">
        <v>893</v>
      </c>
      <c r="B12" s="185" t="s">
        <v>458</v>
      </c>
    </row>
    <row r="13" spans="1:2" hidden="1">
      <c r="A13" s="184" t="s">
        <v>894</v>
      </c>
      <c r="B13" s="185" t="s">
        <v>895</v>
      </c>
    </row>
    <row r="14" spans="1:2" hidden="1">
      <c r="A14" s="182" t="s">
        <v>896</v>
      </c>
      <c r="B14" s="183" t="s">
        <v>897</v>
      </c>
    </row>
    <row r="15" spans="1:2" hidden="1">
      <c r="A15" s="184" t="s">
        <v>898</v>
      </c>
      <c r="B15" s="185" t="s">
        <v>899</v>
      </c>
    </row>
    <row r="16" spans="1:2" hidden="1">
      <c r="A16" s="182" t="s">
        <v>866</v>
      </c>
      <c r="B16" s="183" t="s">
        <v>867</v>
      </c>
    </row>
    <row r="17" spans="1:2" hidden="1">
      <c r="A17" s="184" t="s">
        <v>900</v>
      </c>
      <c r="B17" s="185" t="s">
        <v>901</v>
      </c>
    </row>
    <row r="18" spans="1:2" hidden="1">
      <c r="A18" s="184" t="s">
        <v>902</v>
      </c>
      <c r="B18" s="185" t="s">
        <v>903</v>
      </c>
    </row>
    <row r="19" spans="1:2" hidden="1">
      <c r="A19" s="184" t="s">
        <v>904</v>
      </c>
      <c r="B19" s="185" t="s">
        <v>905</v>
      </c>
    </row>
    <row r="20" spans="1:2" hidden="1">
      <c r="A20" s="184" t="s">
        <v>906</v>
      </c>
      <c r="B20" s="185" t="s">
        <v>907</v>
      </c>
    </row>
    <row r="21" spans="1:2" hidden="1">
      <c r="A21" s="184" t="s">
        <v>908</v>
      </c>
      <c r="B21" s="185" t="s">
        <v>909</v>
      </c>
    </row>
    <row r="22" spans="1:2" hidden="1">
      <c r="A22" s="184" t="s">
        <v>910</v>
      </c>
      <c r="B22" s="185" t="s">
        <v>456</v>
      </c>
    </row>
    <row r="23" spans="1:2" hidden="1">
      <c r="A23" s="182" t="s">
        <v>911</v>
      </c>
      <c r="B23" s="183" t="s">
        <v>912</v>
      </c>
    </row>
    <row r="24" spans="1:2" hidden="1">
      <c r="A24" s="184" t="s">
        <v>913</v>
      </c>
      <c r="B24" s="185" t="s">
        <v>914</v>
      </c>
    </row>
    <row r="25" spans="1:2">
      <c r="A25" s="178" t="s">
        <v>46</v>
      </c>
      <c r="B25" s="179" t="s">
        <v>47</v>
      </c>
    </row>
    <row r="26" spans="1:2">
      <c r="A26" s="182" t="s">
        <v>44</v>
      </c>
      <c r="B26" s="183" t="s">
        <v>45</v>
      </c>
    </row>
    <row r="27" spans="1:2">
      <c r="A27" s="184" t="s">
        <v>50</v>
      </c>
      <c r="B27" s="185" t="s">
        <v>51</v>
      </c>
    </row>
    <row r="28" spans="1:2">
      <c r="A28" s="184" t="s">
        <v>60</v>
      </c>
      <c r="B28" s="185" t="s">
        <v>61</v>
      </c>
    </row>
    <row r="29" spans="1:2">
      <c r="A29" s="184" t="s">
        <v>63</v>
      </c>
      <c r="B29" s="185" t="s">
        <v>64</v>
      </c>
    </row>
    <row r="30" spans="1:2">
      <c r="A30" s="184" t="s">
        <v>65</v>
      </c>
      <c r="B30" s="185" t="s">
        <v>66</v>
      </c>
    </row>
    <row r="31" spans="1:2">
      <c r="A31" s="184" t="s">
        <v>426</v>
      </c>
      <c r="B31" s="185" t="s">
        <v>427</v>
      </c>
    </row>
    <row r="32" spans="1:2">
      <c r="A32" s="184" t="s">
        <v>70</v>
      </c>
      <c r="B32" s="185" t="s">
        <v>71</v>
      </c>
    </row>
    <row r="33" spans="1:2">
      <c r="A33" s="184" t="s">
        <v>72</v>
      </c>
      <c r="B33" s="185" t="s">
        <v>73</v>
      </c>
    </row>
    <row r="34" spans="1:2">
      <c r="A34" s="184" t="s">
        <v>74</v>
      </c>
      <c r="B34" s="185" t="s">
        <v>75</v>
      </c>
    </row>
    <row r="35" spans="1:2">
      <c r="A35" s="184" t="s">
        <v>77</v>
      </c>
      <c r="B35" s="185" t="s">
        <v>78</v>
      </c>
    </row>
    <row r="36" spans="1:2">
      <c r="A36" s="184" t="s">
        <v>430</v>
      </c>
      <c r="B36" s="185" t="s">
        <v>431</v>
      </c>
    </row>
    <row r="37" spans="1:2">
      <c r="A37" s="184" t="s">
        <v>843</v>
      </c>
      <c r="B37" s="185" t="s">
        <v>844</v>
      </c>
    </row>
    <row r="38" spans="1:2">
      <c r="A38" s="184" t="s">
        <v>845</v>
      </c>
      <c r="B38" s="185" t="s">
        <v>846</v>
      </c>
    </row>
    <row r="39" spans="1:2">
      <c r="A39" s="184" t="s">
        <v>424</v>
      </c>
      <c r="B39" s="185" t="s">
        <v>425</v>
      </c>
    </row>
    <row r="40" spans="1:2">
      <c r="A40" s="184" t="s">
        <v>94</v>
      </c>
      <c r="B40" s="185" t="s">
        <v>847</v>
      </c>
    </row>
    <row r="41" spans="1:2">
      <c r="A41" s="184" t="s">
        <v>119</v>
      </c>
      <c r="B41" s="185" t="s">
        <v>848</v>
      </c>
    </row>
    <row r="42" spans="1:2">
      <c r="A42" s="184" t="s">
        <v>125</v>
      </c>
      <c r="B42" s="185" t="s">
        <v>849</v>
      </c>
    </row>
    <row r="43" spans="1:2">
      <c r="A43" s="184" t="s">
        <v>127</v>
      </c>
      <c r="B43" s="185" t="s">
        <v>850</v>
      </c>
    </row>
    <row r="44" spans="1:2">
      <c r="A44" s="184" t="s">
        <v>133</v>
      </c>
      <c r="B44" s="185" t="s">
        <v>851</v>
      </c>
    </row>
    <row r="45" spans="1:2">
      <c r="A45" s="184" t="s">
        <v>135</v>
      </c>
      <c r="B45" s="185" t="s">
        <v>852</v>
      </c>
    </row>
    <row r="46" spans="1:2">
      <c r="A46" s="184" t="s">
        <v>137</v>
      </c>
      <c r="B46" s="185" t="s">
        <v>853</v>
      </c>
    </row>
    <row r="47" spans="1:2">
      <c r="A47" s="184" t="s">
        <v>141</v>
      </c>
      <c r="B47" s="185" t="s">
        <v>854</v>
      </c>
    </row>
    <row r="48" spans="1:2">
      <c r="A48" s="184" t="s">
        <v>145</v>
      </c>
      <c r="B48" s="185" t="s">
        <v>146</v>
      </c>
    </row>
    <row r="49" spans="1:2">
      <c r="A49" s="184" t="s">
        <v>147</v>
      </c>
      <c r="B49" s="185" t="s">
        <v>855</v>
      </c>
    </row>
    <row r="50" spans="1:2">
      <c r="A50" s="184" t="s">
        <v>148</v>
      </c>
      <c r="B50" s="185" t="s">
        <v>856</v>
      </c>
    </row>
    <row r="51" spans="1:2">
      <c r="A51" s="184" t="s">
        <v>177</v>
      </c>
      <c r="B51" s="185" t="s">
        <v>857</v>
      </c>
    </row>
    <row r="52" spans="1:2">
      <c r="A52" s="184" t="s">
        <v>180</v>
      </c>
      <c r="B52" s="185" t="s">
        <v>858</v>
      </c>
    </row>
    <row r="53" spans="1:2">
      <c r="A53" s="184" t="s">
        <v>183</v>
      </c>
      <c r="B53" s="185" t="s">
        <v>859</v>
      </c>
    </row>
    <row r="54" spans="1:2">
      <c r="A54" s="184" t="s">
        <v>187</v>
      </c>
      <c r="B54" s="185" t="s">
        <v>860</v>
      </c>
    </row>
    <row r="55" spans="1:2">
      <c r="A55" s="184" t="s">
        <v>188</v>
      </c>
      <c r="B55" s="185" t="s">
        <v>861</v>
      </c>
    </row>
    <row r="56" spans="1:2">
      <c r="A56" s="184" t="s">
        <v>190</v>
      </c>
      <c r="B56" s="185" t="s">
        <v>862</v>
      </c>
    </row>
    <row r="57" spans="1:2">
      <c r="A57" s="184" t="s">
        <v>196</v>
      </c>
      <c r="B57" s="185" t="s">
        <v>863</v>
      </c>
    </row>
    <row r="58" spans="1:2">
      <c r="A58" s="184" t="s">
        <v>197</v>
      </c>
      <c r="B58" s="185" t="s">
        <v>864</v>
      </c>
    </row>
    <row r="59" spans="1:2">
      <c r="A59" s="184" t="s">
        <v>422</v>
      </c>
      <c r="B59" s="185" t="s">
        <v>423</v>
      </c>
    </row>
    <row r="60" spans="1:2">
      <c r="A60" s="184" t="s">
        <v>865</v>
      </c>
      <c r="B60" s="185" t="s">
        <v>374</v>
      </c>
    </row>
    <row r="61" spans="1:2">
      <c r="A61" s="184" t="s">
        <v>428</v>
      </c>
      <c r="B61" s="185" t="s">
        <v>429</v>
      </c>
    </row>
    <row r="62" spans="1:2">
      <c r="A62" s="184" t="s">
        <v>270</v>
      </c>
      <c r="B62" s="185" t="s">
        <v>456</v>
      </c>
    </row>
    <row r="63" spans="1:2">
      <c r="A63" s="184" t="s">
        <v>457</v>
      </c>
      <c r="B63" s="185" t="s">
        <v>458</v>
      </c>
    </row>
    <row r="64" spans="1:2">
      <c r="A64" s="184" t="s">
        <v>459</v>
      </c>
      <c r="B64" s="185" t="s">
        <v>460</v>
      </c>
    </row>
    <row r="65" spans="1:2">
      <c r="A65" s="182" t="s">
        <v>866</v>
      </c>
      <c r="B65" s="183" t="s">
        <v>867</v>
      </c>
    </row>
    <row r="66" spans="1:2">
      <c r="A66" s="184" t="s">
        <v>432</v>
      </c>
      <c r="B66" s="185" t="s">
        <v>433</v>
      </c>
    </row>
    <row r="67" spans="1:2">
      <c r="A67" s="178" t="s">
        <v>376</v>
      </c>
      <c r="B67" s="179" t="s">
        <v>868</v>
      </c>
    </row>
    <row r="68" spans="1:2">
      <c r="A68" s="182" t="s">
        <v>866</v>
      </c>
      <c r="B68" s="183" t="s">
        <v>867</v>
      </c>
    </row>
    <row r="69" spans="1:2">
      <c r="A69" s="184" t="s">
        <v>461</v>
      </c>
      <c r="B69" s="185" t="s">
        <v>462</v>
      </c>
    </row>
    <row r="70" spans="1:2">
      <c r="A70" s="184" t="s">
        <v>463</v>
      </c>
      <c r="B70" s="185" t="s">
        <v>464</v>
      </c>
    </row>
    <row r="71" spans="1:2">
      <c r="A71" s="184" t="s">
        <v>869</v>
      </c>
      <c r="B71" s="185" t="s">
        <v>870</v>
      </c>
    </row>
    <row r="72" spans="1:2">
      <c r="A72" s="184" t="s">
        <v>465</v>
      </c>
      <c r="B72" s="185" t="s">
        <v>466</v>
      </c>
    </row>
    <row r="73" spans="1:2">
      <c r="A73" s="184" t="s">
        <v>871</v>
      </c>
      <c r="B73" s="185" t="s">
        <v>844</v>
      </c>
    </row>
    <row r="74" spans="1:2">
      <c r="A74" s="184" t="s">
        <v>467</v>
      </c>
      <c r="B74" s="185" t="s">
        <v>872</v>
      </c>
    </row>
    <row r="75" spans="1:2">
      <c r="A75" s="184" t="s">
        <v>469</v>
      </c>
      <c r="B75" s="185" t="s">
        <v>873</v>
      </c>
    </row>
    <row r="76" spans="1:2">
      <c r="A76" s="184" t="s">
        <v>471</v>
      </c>
      <c r="B76" s="185" t="s">
        <v>472</v>
      </c>
    </row>
    <row r="77" spans="1:2">
      <c r="A77" s="184" t="s">
        <v>473</v>
      </c>
      <c r="B77" s="185" t="s">
        <v>456</v>
      </c>
    </row>
    <row r="78" spans="1:2">
      <c r="A78" s="178" t="s">
        <v>915</v>
      </c>
      <c r="B78" s="179" t="s">
        <v>916</v>
      </c>
    </row>
    <row r="79" spans="1:2">
      <c r="A79" s="182" t="s">
        <v>866</v>
      </c>
      <c r="B79" s="183" t="s">
        <v>867</v>
      </c>
    </row>
    <row r="80" spans="1:2">
      <c r="A80" s="184" t="s">
        <v>917</v>
      </c>
      <c r="B80" s="185" t="s">
        <v>918</v>
      </c>
    </row>
    <row r="81" spans="1:2">
      <c r="A81" s="184" t="s">
        <v>919</v>
      </c>
      <c r="B81" s="185" t="s">
        <v>920</v>
      </c>
    </row>
    <row r="82" spans="1:2">
      <c r="A82" s="178" t="s">
        <v>921</v>
      </c>
      <c r="B82" s="179" t="s">
        <v>922</v>
      </c>
    </row>
    <row r="83" spans="1:2">
      <c r="A83" s="182" t="s">
        <v>866</v>
      </c>
      <c r="B83" s="183" t="s">
        <v>867</v>
      </c>
    </row>
    <row r="84" spans="1:2">
      <c r="A84" s="184" t="s">
        <v>923</v>
      </c>
      <c r="B84" s="185" t="s">
        <v>924</v>
      </c>
    </row>
    <row r="85" spans="1:2">
      <c r="A85" s="184" t="s">
        <v>925</v>
      </c>
      <c r="B85" s="185" t="s">
        <v>926</v>
      </c>
    </row>
    <row r="86" spans="1:2">
      <c r="A86" s="184" t="s">
        <v>927</v>
      </c>
      <c r="B86" s="185" t="s">
        <v>928</v>
      </c>
    </row>
    <row r="87" spans="1:2">
      <c r="A87" s="184" t="s">
        <v>929</v>
      </c>
      <c r="B87" s="185" t="s">
        <v>930</v>
      </c>
    </row>
    <row r="88" spans="1:2">
      <c r="A88" s="178" t="s">
        <v>931</v>
      </c>
      <c r="B88" s="179" t="s">
        <v>932</v>
      </c>
    </row>
    <row r="89" spans="1:2">
      <c r="A89" s="182" t="s">
        <v>933</v>
      </c>
      <c r="B89" s="183" t="s">
        <v>934</v>
      </c>
    </row>
    <row r="90" spans="1:2">
      <c r="A90" s="184" t="s">
        <v>935</v>
      </c>
      <c r="B90" s="185" t="s">
        <v>936</v>
      </c>
    </row>
    <row r="91" spans="1:2">
      <c r="A91" s="184" t="s">
        <v>937</v>
      </c>
      <c r="B91" s="185" t="s">
        <v>938</v>
      </c>
    </row>
    <row r="92" spans="1:2">
      <c r="A92" s="184" t="s">
        <v>939</v>
      </c>
      <c r="B92" s="185" t="s">
        <v>940</v>
      </c>
    </row>
    <row r="93" spans="1:2">
      <c r="A93" s="184" t="s">
        <v>941</v>
      </c>
      <c r="B93" s="185" t="s">
        <v>942</v>
      </c>
    </row>
    <row r="94" spans="1:2">
      <c r="A94" s="184" t="s">
        <v>943</v>
      </c>
      <c r="B94" s="185" t="s">
        <v>944</v>
      </c>
    </row>
    <row r="95" spans="1:2">
      <c r="A95" s="184" t="s">
        <v>945</v>
      </c>
      <c r="B95" s="185" t="s">
        <v>946</v>
      </c>
    </row>
    <row r="96" spans="1:2">
      <c r="A96" s="184" t="s">
        <v>947</v>
      </c>
      <c r="B96" s="185" t="s">
        <v>948</v>
      </c>
    </row>
    <row r="97" spans="1:2">
      <c r="A97" s="184" t="s">
        <v>949</v>
      </c>
      <c r="B97" s="185" t="s">
        <v>950</v>
      </c>
    </row>
    <row r="98" spans="1:2">
      <c r="A98" s="184" t="s">
        <v>951</v>
      </c>
      <c r="B98" s="185" t="s">
        <v>952</v>
      </c>
    </row>
    <row r="99" spans="1:2">
      <c r="A99" s="184" t="s">
        <v>953</v>
      </c>
      <c r="B99" s="185" t="s">
        <v>954</v>
      </c>
    </row>
    <row r="100" spans="1:2">
      <c r="A100" s="184" t="s">
        <v>955</v>
      </c>
      <c r="B100" s="185" t="s">
        <v>956</v>
      </c>
    </row>
    <row r="101" spans="1:2">
      <c r="A101" s="184" t="s">
        <v>957</v>
      </c>
      <c r="B101" s="185" t="s">
        <v>958</v>
      </c>
    </row>
    <row r="102" spans="1:2">
      <c r="A102" s="184" t="s">
        <v>959</v>
      </c>
      <c r="B102" s="185" t="s">
        <v>960</v>
      </c>
    </row>
    <row r="103" spans="1:2">
      <c r="A103" s="184" t="s">
        <v>961</v>
      </c>
      <c r="B103" s="185" t="s">
        <v>962</v>
      </c>
    </row>
    <row r="104" spans="1:2">
      <c r="A104" s="184" t="s">
        <v>963</v>
      </c>
      <c r="B104" s="185" t="s">
        <v>964</v>
      </c>
    </row>
    <row r="105" spans="1:2">
      <c r="A105" s="178" t="s">
        <v>965</v>
      </c>
      <c r="B105" s="179" t="s">
        <v>966</v>
      </c>
    </row>
    <row r="106" spans="1:2">
      <c r="A106" s="182" t="s">
        <v>866</v>
      </c>
      <c r="B106" s="183" t="s">
        <v>867</v>
      </c>
    </row>
    <row r="107" spans="1:2">
      <c r="A107" s="184" t="s">
        <v>967</v>
      </c>
      <c r="B107" s="185" t="s">
        <v>968</v>
      </c>
    </row>
    <row r="108" spans="1:2">
      <c r="A108" s="184" t="s">
        <v>969</v>
      </c>
      <c r="B108" s="185" t="s">
        <v>970</v>
      </c>
    </row>
    <row r="109" spans="1:2">
      <c r="A109" s="178" t="s">
        <v>971</v>
      </c>
      <c r="B109" s="179" t="s">
        <v>972</v>
      </c>
    </row>
    <row r="110" spans="1:2">
      <c r="A110" s="182" t="s">
        <v>933</v>
      </c>
      <c r="B110" s="183" t="s">
        <v>934</v>
      </c>
    </row>
    <row r="111" spans="1:2">
      <c r="A111" s="184" t="s">
        <v>973</v>
      </c>
      <c r="B111" s="185" t="s">
        <v>974</v>
      </c>
    </row>
    <row r="112" spans="1:2">
      <c r="A112" s="184" t="s">
        <v>975</v>
      </c>
      <c r="B112" s="185" t="s">
        <v>976</v>
      </c>
    </row>
    <row r="113" spans="1:2">
      <c r="A113" s="184" t="s">
        <v>977</v>
      </c>
      <c r="B113" s="185" t="s">
        <v>978</v>
      </c>
    </row>
    <row r="114" spans="1:2">
      <c r="A114" s="184" t="s">
        <v>979</v>
      </c>
      <c r="B114" s="185" t="s">
        <v>980</v>
      </c>
    </row>
    <row r="115" spans="1:2">
      <c r="A115" s="184" t="s">
        <v>981</v>
      </c>
      <c r="B115" s="185" t="s">
        <v>982</v>
      </c>
    </row>
    <row r="116" spans="1:2">
      <c r="A116" s="178" t="s">
        <v>983</v>
      </c>
      <c r="B116" s="179" t="s">
        <v>984</v>
      </c>
    </row>
    <row r="117" spans="1:2">
      <c r="A117" s="182" t="s">
        <v>876</v>
      </c>
      <c r="B117" s="183" t="s">
        <v>877</v>
      </c>
    </row>
    <row r="118" spans="1:2">
      <c r="A118" s="184" t="s">
        <v>985</v>
      </c>
      <c r="B118" s="185" t="s">
        <v>986</v>
      </c>
    </row>
    <row r="119" spans="1:2">
      <c r="A119" s="184" t="s">
        <v>987</v>
      </c>
      <c r="B119" s="185" t="s">
        <v>988</v>
      </c>
    </row>
    <row r="120" spans="1:2">
      <c r="A120" s="184" t="s">
        <v>989</v>
      </c>
      <c r="B120" s="185" t="s">
        <v>990</v>
      </c>
    </row>
    <row r="121" spans="1:2">
      <c r="A121" s="184" t="s">
        <v>991</v>
      </c>
      <c r="B121" s="185" t="s">
        <v>992</v>
      </c>
    </row>
    <row r="122" spans="1:2">
      <c r="A122" s="184" t="s">
        <v>993</v>
      </c>
      <c r="B122" s="185" t="s">
        <v>994</v>
      </c>
    </row>
    <row r="123" spans="1:2">
      <c r="A123" s="184" t="s">
        <v>995</v>
      </c>
      <c r="B123" s="185" t="s">
        <v>996</v>
      </c>
    </row>
    <row r="124" spans="1:2">
      <c r="A124" s="184" t="s">
        <v>997</v>
      </c>
      <c r="B124" s="185" t="s">
        <v>998</v>
      </c>
    </row>
    <row r="125" spans="1:2">
      <c r="A125" s="178" t="s">
        <v>999</v>
      </c>
      <c r="B125" s="179" t="s">
        <v>1000</v>
      </c>
    </row>
    <row r="126" spans="1:2">
      <c r="A126" s="182" t="s">
        <v>44</v>
      </c>
      <c r="B126" s="183" t="s">
        <v>45</v>
      </c>
    </row>
    <row r="127" spans="1:2">
      <c r="A127" s="184" t="s">
        <v>1001</v>
      </c>
      <c r="B127" s="185" t="s">
        <v>1002</v>
      </c>
    </row>
    <row r="128" spans="1:2">
      <c r="A128" s="184" t="s">
        <v>1003</v>
      </c>
      <c r="B128" s="185" t="s">
        <v>1004</v>
      </c>
    </row>
    <row r="129" spans="1:2">
      <c r="A129" s="184" t="s">
        <v>1005</v>
      </c>
      <c r="B129" s="185" t="s">
        <v>1006</v>
      </c>
    </row>
    <row r="130" spans="1:2">
      <c r="A130" s="184" t="s">
        <v>1007</v>
      </c>
      <c r="B130" s="185" t="s">
        <v>1008</v>
      </c>
    </row>
    <row r="131" spans="1:2">
      <c r="A131" s="184" t="s">
        <v>1009</v>
      </c>
      <c r="B131" s="185" t="s">
        <v>1010</v>
      </c>
    </row>
    <row r="132" spans="1:2">
      <c r="A132" s="184" t="s">
        <v>1011</v>
      </c>
      <c r="B132" s="185" t="s">
        <v>1012</v>
      </c>
    </row>
    <row r="133" spans="1:2">
      <c r="A133" s="184" t="s">
        <v>1013</v>
      </c>
      <c r="B133" s="185" t="s">
        <v>1014</v>
      </c>
    </row>
    <row r="134" spans="1:2">
      <c r="A134" s="184" t="s">
        <v>1015</v>
      </c>
      <c r="B134" s="185" t="s">
        <v>1016</v>
      </c>
    </row>
    <row r="135" spans="1:2">
      <c r="A135" s="184" t="s">
        <v>1017</v>
      </c>
      <c r="B135" s="185" t="s">
        <v>1018</v>
      </c>
    </row>
    <row r="136" spans="1:2">
      <c r="A136" s="184" t="s">
        <v>1019</v>
      </c>
      <c r="B136" s="185" t="s">
        <v>1020</v>
      </c>
    </row>
    <row r="137" spans="1:2">
      <c r="A137" s="184" t="s">
        <v>1021</v>
      </c>
      <c r="B137" s="185" t="s">
        <v>1022</v>
      </c>
    </row>
    <row r="138" spans="1:2">
      <c r="A138" s="184" t="s">
        <v>1023</v>
      </c>
      <c r="B138" s="185" t="s">
        <v>1024</v>
      </c>
    </row>
    <row r="139" spans="1:2">
      <c r="A139" s="184" t="s">
        <v>1025</v>
      </c>
      <c r="B139" s="185" t="s">
        <v>1026</v>
      </c>
    </row>
    <row r="140" spans="1:2">
      <c r="A140" s="184" t="s">
        <v>1027</v>
      </c>
      <c r="B140" s="185" t="s">
        <v>1028</v>
      </c>
    </row>
    <row r="141" spans="1:2">
      <c r="A141" s="184" t="s">
        <v>1029</v>
      </c>
      <c r="B141" s="185" t="s">
        <v>1030</v>
      </c>
    </row>
    <row r="142" spans="1:2">
      <c r="A142" s="184" t="s">
        <v>1031</v>
      </c>
      <c r="B142" s="185" t="s">
        <v>1032</v>
      </c>
    </row>
    <row r="143" spans="1:2">
      <c r="A143" s="184" t="s">
        <v>1033</v>
      </c>
      <c r="B143" s="185" t="s">
        <v>1034</v>
      </c>
    </row>
    <row r="144" spans="1:2">
      <c r="A144" s="184" t="s">
        <v>1035</v>
      </c>
      <c r="B144" s="185" t="s">
        <v>458</v>
      </c>
    </row>
    <row r="145" spans="1:2">
      <c r="A145" s="184" t="s">
        <v>1036</v>
      </c>
      <c r="B145" s="185" t="s">
        <v>1037</v>
      </c>
    </row>
    <row r="146" spans="1:2">
      <c r="A146" s="184" t="s">
        <v>1038</v>
      </c>
      <c r="B146" s="185" t="s">
        <v>1039</v>
      </c>
    </row>
    <row r="147" spans="1:2">
      <c r="A147" s="178" t="s">
        <v>1040</v>
      </c>
      <c r="B147" s="179" t="s">
        <v>1041</v>
      </c>
    </row>
    <row r="148" spans="1:2">
      <c r="A148" s="182" t="s">
        <v>876</v>
      </c>
      <c r="B148" s="183" t="s">
        <v>877</v>
      </c>
    </row>
    <row r="149" spans="1:2">
      <c r="A149" s="184" t="s">
        <v>1042</v>
      </c>
      <c r="B149" s="185" t="s">
        <v>1043</v>
      </c>
    </row>
    <row r="150" spans="1:2">
      <c r="A150" s="184" t="s">
        <v>1044</v>
      </c>
      <c r="B150" s="185" t="s">
        <v>1045</v>
      </c>
    </row>
    <row r="151" spans="1:2">
      <c r="A151" s="184" t="s">
        <v>1046</v>
      </c>
      <c r="B151" s="185" t="s">
        <v>1047</v>
      </c>
    </row>
    <row r="152" spans="1:2">
      <c r="A152" s="184" t="s">
        <v>1048</v>
      </c>
      <c r="B152" s="185" t="s">
        <v>1049</v>
      </c>
    </row>
    <row r="153" spans="1:2">
      <c r="A153" s="184" t="s">
        <v>1050</v>
      </c>
      <c r="B153" s="185" t="s">
        <v>1051</v>
      </c>
    </row>
    <row r="154" spans="1:2">
      <c r="A154" s="184" t="s">
        <v>1052</v>
      </c>
      <c r="B154" s="185" t="s">
        <v>1053</v>
      </c>
    </row>
    <row r="155" spans="1:2">
      <c r="A155" s="184" t="s">
        <v>1054</v>
      </c>
      <c r="B155" s="185" t="s">
        <v>1055</v>
      </c>
    </row>
    <row r="156" spans="1:2">
      <c r="A156" s="184" t="s">
        <v>1056</v>
      </c>
      <c r="B156" s="185" t="s">
        <v>1057</v>
      </c>
    </row>
    <row r="157" spans="1:2">
      <c r="A157" s="184" t="s">
        <v>1058</v>
      </c>
      <c r="B157" s="185" t="s">
        <v>1059</v>
      </c>
    </row>
    <row r="158" spans="1:2">
      <c r="A158" s="182" t="s">
        <v>933</v>
      </c>
      <c r="B158" s="183" t="s">
        <v>934</v>
      </c>
    </row>
    <row r="159" spans="1:2">
      <c r="A159" s="184" t="s">
        <v>1060</v>
      </c>
      <c r="B159" s="185" t="s">
        <v>1061</v>
      </c>
    </row>
    <row r="160" spans="1:2">
      <c r="A160" s="178" t="s">
        <v>1062</v>
      </c>
      <c r="B160" s="179" t="s">
        <v>1063</v>
      </c>
    </row>
    <row r="161" spans="1:2">
      <c r="A161" s="182" t="s">
        <v>876</v>
      </c>
      <c r="B161" s="183" t="s">
        <v>877</v>
      </c>
    </row>
    <row r="162" spans="1:2">
      <c r="A162" s="184" t="s">
        <v>1064</v>
      </c>
      <c r="B162" s="185" t="s">
        <v>1065</v>
      </c>
    </row>
    <row r="163" spans="1:2">
      <c r="A163" s="184" t="s">
        <v>1066</v>
      </c>
      <c r="B163" s="185" t="s">
        <v>1067</v>
      </c>
    </row>
    <row r="164" spans="1:2">
      <c r="A164" s="184" t="s">
        <v>1068</v>
      </c>
      <c r="B164" s="185" t="s">
        <v>1069</v>
      </c>
    </row>
    <row r="165" spans="1:2">
      <c r="A165" s="184" t="s">
        <v>1070</v>
      </c>
      <c r="B165" s="185" t="s">
        <v>1071</v>
      </c>
    </row>
    <row r="166" spans="1:2">
      <c r="A166" s="184" t="s">
        <v>1072</v>
      </c>
      <c r="B166" s="185" t="s">
        <v>1073</v>
      </c>
    </row>
    <row r="167" spans="1:2">
      <c r="A167" s="184" t="s">
        <v>1074</v>
      </c>
      <c r="B167" s="185" t="s">
        <v>1075</v>
      </c>
    </row>
    <row r="168" spans="1:2">
      <c r="A168" s="184" t="s">
        <v>1076</v>
      </c>
      <c r="B168" s="185" t="s">
        <v>1077</v>
      </c>
    </row>
    <row r="169" spans="1:2">
      <c r="A169" s="184" t="s">
        <v>1078</v>
      </c>
      <c r="B169" s="185" t="s">
        <v>1079</v>
      </c>
    </row>
    <row r="170" spans="1:2">
      <c r="A170" s="184" t="s">
        <v>1080</v>
      </c>
      <c r="B170" s="185" t="s">
        <v>1081</v>
      </c>
    </row>
    <row r="171" spans="1:2">
      <c r="A171" s="184" t="s">
        <v>1082</v>
      </c>
      <c r="B171" s="185" t="s">
        <v>1083</v>
      </c>
    </row>
    <row r="172" spans="1:2">
      <c r="A172" s="184" t="s">
        <v>1084</v>
      </c>
      <c r="B172" s="185" t="s">
        <v>1085</v>
      </c>
    </row>
    <row r="173" spans="1:2">
      <c r="A173" s="184" t="s">
        <v>1086</v>
      </c>
      <c r="B173" s="185" t="s">
        <v>1087</v>
      </c>
    </row>
    <row r="174" spans="1:2">
      <c r="A174" s="184" t="s">
        <v>1088</v>
      </c>
      <c r="B174" s="185" t="s">
        <v>1089</v>
      </c>
    </row>
    <row r="175" spans="1:2">
      <c r="A175" s="184" t="s">
        <v>1090</v>
      </c>
      <c r="B175" s="185" t="s">
        <v>1091</v>
      </c>
    </row>
    <row r="176" spans="1:2">
      <c r="A176" s="184" t="s">
        <v>1092</v>
      </c>
      <c r="B176" s="185" t="s">
        <v>1093</v>
      </c>
    </row>
    <row r="177" spans="1:2">
      <c r="A177" s="184" t="s">
        <v>1094</v>
      </c>
      <c r="B177" s="185" t="s">
        <v>1095</v>
      </c>
    </row>
    <row r="178" spans="1:2">
      <c r="A178" s="184" t="s">
        <v>1096</v>
      </c>
      <c r="B178" s="185" t="s">
        <v>1097</v>
      </c>
    </row>
    <row r="179" spans="1:2">
      <c r="A179" s="184" t="s">
        <v>1098</v>
      </c>
      <c r="B179" s="185" t="s">
        <v>1099</v>
      </c>
    </row>
    <row r="180" spans="1:2">
      <c r="A180" s="184" t="s">
        <v>1100</v>
      </c>
      <c r="B180" s="185" t="s">
        <v>1101</v>
      </c>
    </row>
    <row r="181" spans="1:2">
      <c r="A181" s="178" t="s">
        <v>1102</v>
      </c>
      <c r="B181" s="179" t="s">
        <v>1103</v>
      </c>
    </row>
    <row r="182" spans="1:2">
      <c r="A182" s="182" t="s">
        <v>876</v>
      </c>
      <c r="B182" s="183" t="s">
        <v>877</v>
      </c>
    </row>
    <row r="183" spans="1:2">
      <c r="A183" s="184" t="s">
        <v>1104</v>
      </c>
      <c r="B183" s="185" t="s">
        <v>1105</v>
      </c>
    </row>
    <row r="184" spans="1:2">
      <c r="A184" s="184" t="s">
        <v>1106</v>
      </c>
      <c r="B184" s="185" t="s">
        <v>1107</v>
      </c>
    </row>
    <row r="185" spans="1:2">
      <c r="A185" s="184" t="s">
        <v>1108</v>
      </c>
      <c r="B185" s="185" t="s">
        <v>1109</v>
      </c>
    </row>
    <row r="186" spans="1:2">
      <c r="A186" s="184" t="s">
        <v>1110</v>
      </c>
      <c r="B186" s="185" t="s">
        <v>1111</v>
      </c>
    </row>
    <row r="187" spans="1:2">
      <c r="A187" s="184" t="s">
        <v>1112</v>
      </c>
      <c r="B187" s="185" t="s">
        <v>1113</v>
      </c>
    </row>
    <row r="188" spans="1:2">
      <c r="A188" s="184" t="s">
        <v>1114</v>
      </c>
      <c r="B188" s="185" t="s">
        <v>1115</v>
      </c>
    </row>
    <row r="189" spans="1:2">
      <c r="A189" s="184" t="s">
        <v>1116</v>
      </c>
      <c r="B189" s="185" t="s">
        <v>1117</v>
      </c>
    </row>
    <row r="190" spans="1:2">
      <c r="A190" s="184" t="s">
        <v>1118</v>
      </c>
      <c r="B190" s="185" t="s">
        <v>1119</v>
      </c>
    </row>
    <row r="191" spans="1:2">
      <c r="A191" s="184" t="s">
        <v>1120</v>
      </c>
      <c r="B191" s="185" t="s">
        <v>1121</v>
      </c>
    </row>
    <row r="192" spans="1:2">
      <c r="A192" s="184" t="s">
        <v>1122</v>
      </c>
      <c r="B192" s="185" t="s">
        <v>1123</v>
      </c>
    </row>
    <row r="193" spans="1:2">
      <c r="A193" s="184" t="s">
        <v>1124</v>
      </c>
      <c r="B193" s="185" t="s">
        <v>1125</v>
      </c>
    </row>
    <row r="194" spans="1:2">
      <c r="A194" s="184" t="s">
        <v>1126</v>
      </c>
      <c r="B194" s="185" t="s">
        <v>1127</v>
      </c>
    </row>
    <row r="195" spans="1:2">
      <c r="A195" s="184" t="s">
        <v>1128</v>
      </c>
      <c r="B195" s="185" t="s">
        <v>1129</v>
      </c>
    </row>
    <row r="196" spans="1:2">
      <c r="A196" s="184" t="s">
        <v>1130</v>
      </c>
      <c r="B196" s="185" t="s">
        <v>1131</v>
      </c>
    </row>
    <row r="197" spans="1:2">
      <c r="A197" s="184" t="s">
        <v>1132</v>
      </c>
      <c r="B197" s="185" t="s">
        <v>458</v>
      </c>
    </row>
    <row r="198" spans="1:2">
      <c r="A198" s="184" t="s">
        <v>1133</v>
      </c>
      <c r="B198" s="185" t="s">
        <v>1134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B267"/>
  <sheetViews>
    <sheetView workbookViewId="0">
      <selection activeCell="B17" sqref="B17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189" t="s">
        <v>1135</v>
      </c>
      <c r="B1" s="190"/>
    </row>
    <row r="2" spans="1:2">
      <c r="A2" s="189" t="s">
        <v>842</v>
      </c>
      <c r="B2" s="190" t="s">
        <v>375</v>
      </c>
    </row>
    <row r="3" spans="1:2">
      <c r="A3" s="191" t="s">
        <v>874</v>
      </c>
      <c r="B3" s="192" t="s">
        <v>875</v>
      </c>
    </row>
    <row r="4" spans="1:2">
      <c r="A4" s="193" t="s">
        <v>876</v>
      </c>
      <c r="B4" s="194" t="s">
        <v>877</v>
      </c>
    </row>
    <row r="5" spans="1:2">
      <c r="A5" s="193" t="s">
        <v>892</v>
      </c>
      <c r="B5" s="194" t="s">
        <v>460</v>
      </c>
    </row>
    <row r="6" spans="1:2">
      <c r="A6" s="195" t="s">
        <v>1136</v>
      </c>
      <c r="B6" s="196" t="s">
        <v>1137</v>
      </c>
    </row>
    <row r="7" spans="1:2">
      <c r="A7" s="193" t="s">
        <v>893</v>
      </c>
      <c r="B7" s="194" t="s">
        <v>458</v>
      </c>
    </row>
    <row r="8" spans="1:2" ht="22.5">
      <c r="A8" s="195" t="s">
        <v>1138</v>
      </c>
      <c r="B8" s="196" t="s">
        <v>1139</v>
      </c>
    </row>
    <row r="9" spans="1:2">
      <c r="A9" s="195" t="s">
        <v>1140</v>
      </c>
      <c r="B9" s="196" t="s">
        <v>1141</v>
      </c>
    </row>
    <row r="10" spans="1:2">
      <c r="A10" s="195" t="s">
        <v>1142</v>
      </c>
      <c r="B10" s="196" t="s">
        <v>1143</v>
      </c>
    </row>
    <row r="11" spans="1:2" ht="22.5">
      <c r="A11" s="195" t="s">
        <v>1144</v>
      </c>
      <c r="B11" s="196" t="s">
        <v>1145</v>
      </c>
    </row>
    <row r="12" spans="1:2">
      <c r="A12" s="195" t="s">
        <v>1146</v>
      </c>
      <c r="B12" s="196" t="s">
        <v>1147</v>
      </c>
    </row>
    <row r="13" spans="1:2">
      <c r="A13" s="195" t="s">
        <v>1148</v>
      </c>
      <c r="B13" s="196" t="s">
        <v>762</v>
      </c>
    </row>
    <row r="14" spans="1:2">
      <c r="A14" s="195" t="s">
        <v>1149</v>
      </c>
      <c r="B14" s="196" t="s">
        <v>764</v>
      </c>
    </row>
    <row r="15" spans="1:2">
      <c r="A15" s="195" t="s">
        <v>1150</v>
      </c>
      <c r="B15" s="196" t="s">
        <v>766</v>
      </c>
    </row>
    <row r="16" spans="1:2">
      <c r="A16" s="195" t="s">
        <v>1151</v>
      </c>
      <c r="B16" s="196" t="s">
        <v>1152</v>
      </c>
    </row>
    <row r="17" spans="1:2">
      <c r="A17" s="195" t="s">
        <v>1153</v>
      </c>
      <c r="B17" s="196" t="s">
        <v>1154</v>
      </c>
    </row>
    <row r="18" spans="1:2">
      <c r="A18" s="195" t="s">
        <v>1155</v>
      </c>
      <c r="B18" s="196" t="s">
        <v>1156</v>
      </c>
    </row>
    <row r="19" spans="1:2">
      <c r="A19" s="195" t="s">
        <v>1157</v>
      </c>
      <c r="B19" s="196" t="s">
        <v>1158</v>
      </c>
    </row>
    <row r="20" spans="1:2">
      <c r="A20" s="195" t="s">
        <v>1159</v>
      </c>
      <c r="B20" s="196" t="s">
        <v>1160</v>
      </c>
    </row>
    <row r="21" spans="1:2">
      <c r="A21" s="195" t="s">
        <v>1161</v>
      </c>
      <c r="B21" s="196" t="s">
        <v>1162</v>
      </c>
    </row>
    <row r="22" spans="1:2">
      <c r="A22" s="195" t="s">
        <v>1163</v>
      </c>
      <c r="B22" s="196" t="s">
        <v>1164</v>
      </c>
    </row>
    <row r="23" spans="1:2">
      <c r="A23" s="195" t="s">
        <v>1165</v>
      </c>
      <c r="B23" s="196" t="s">
        <v>1166</v>
      </c>
    </row>
    <row r="24" spans="1:2">
      <c r="A24" s="195" t="s">
        <v>1167</v>
      </c>
      <c r="B24" s="196" t="s">
        <v>1168</v>
      </c>
    </row>
    <row r="25" spans="1:2">
      <c r="A25" s="195" t="s">
        <v>1169</v>
      </c>
      <c r="B25" s="196" t="s">
        <v>1170</v>
      </c>
    </row>
    <row r="26" spans="1:2">
      <c r="A26" s="195" t="s">
        <v>1171</v>
      </c>
      <c r="B26" s="196" t="s">
        <v>1172</v>
      </c>
    </row>
    <row r="27" spans="1:2">
      <c r="A27" s="195" t="s">
        <v>1173</v>
      </c>
      <c r="B27" s="196" t="s">
        <v>1174</v>
      </c>
    </row>
    <row r="28" spans="1:2">
      <c r="A28" s="195" t="s">
        <v>1175</v>
      </c>
      <c r="B28" s="196" t="s">
        <v>1176</v>
      </c>
    </row>
    <row r="29" spans="1:2">
      <c r="A29" s="195" t="s">
        <v>1177</v>
      </c>
      <c r="B29" s="196" t="s">
        <v>1178</v>
      </c>
    </row>
    <row r="30" spans="1:2">
      <c r="A30" s="195" t="s">
        <v>1179</v>
      </c>
      <c r="B30" s="196" t="s">
        <v>1180</v>
      </c>
    </row>
    <row r="31" spans="1:2">
      <c r="A31" s="193" t="s">
        <v>866</v>
      </c>
      <c r="B31" s="197" t="s">
        <v>867</v>
      </c>
    </row>
    <row r="32" spans="1:2">
      <c r="A32" s="193" t="s">
        <v>910</v>
      </c>
      <c r="B32" s="197" t="s">
        <v>456</v>
      </c>
    </row>
    <row r="33" spans="1:2">
      <c r="A33" s="195" t="s">
        <v>1181</v>
      </c>
      <c r="B33" s="196" t="s">
        <v>1182</v>
      </c>
    </row>
    <row r="34" spans="1:2">
      <c r="A34" s="195" t="s">
        <v>1183</v>
      </c>
      <c r="B34" s="196" t="s">
        <v>1184</v>
      </c>
    </row>
    <row r="35" spans="1:2">
      <c r="A35" s="195" t="s">
        <v>1185</v>
      </c>
      <c r="B35" s="196" t="s">
        <v>1186</v>
      </c>
    </row>
    <row r="36" spans="1:2">
      <c r="A36" s="195" t="s">
        <v>1187</v>
      </c>
      <c r="B36" s="196" t="s">
        <v>354</v>
      </c>
    </row>
    <row r="37" spans="1:2">
      <c r="A37" s="195" t="s">
        <v>1188</v>
      </c>
      <c r="B37" s="196" t="s">
        <v>1189</v>
      </c>
    </row>
    <row r="38" spans="1:2">
      <c r="A38" s="195" t="s">
        <v>1190</v>
      </c>
      <c r="B38" s="196" t="s">
        <v>1191</v>
      </c>
    </row>
    <row r="39" spans="1:2">
      <c r="A39" s="195" t="s">
        <v>1192</v>
      </c>
      <c r="B39" s="196" t="s">
        <v>1193</v>
      </c>
    </row>
    <row r="40" spans="1:2">
      <c r="A40" s="195" t="s">
        <v>1194</v>
      </c>
      <c r="B40" s="196" t="s">
        <v>1195</v>
      </c>
    </row>
    <row r="41" spans="1:2">
      <c r="A41" s="195" t="s">
        <v>1196</v>
      </c>
      <c r="B41" s="196" t="s">
        <v>1197</v>
      </c>
    </row>
    <row r="42" spans="1:2">
      <c r="A42" s="191" t="s">
        <v>46</v>
      </c>
      <c r="B42" s="198" t="s">
        <v>47</v>
      </c>
    </row>
    <row r="43" spans="1:2">
      <c r="A43" s="193" t="s">
        <v>44</v>
      </c>
      <c r="B43" s="197" t="s">
        <v>45</v>
      </c>
    </row>
    <row r="44" spans="1:2">
      <c r="A44" s="193" t="s">
        <v>94</v>
      </c>
      <c r="B44" s="197" t="s">
        <v>847</v>
      </c>
    </row>
    <row r="45" spans="1:2">
      <c r="A45" s="195" t="s">
        <v>475</v>
      </c>
      <c r="B45" s="196" t="s">
        <v>476</v>
      </c>
    </row>
    <row r="46" spans="1:2">
      <c r="A46" s="195" t="s">
        <v>477</v>
      </c>
      <c r="B46" s="196" t="s">
        <v>478</v>
      </c>
    </row>
    <row r="47" spans="1:2">
      <c r="A47" s="195" t="s">
        <v>479</v>
      </c>
      <c r="B47" s="196" t="s">
        <v>480</v>
      </c>
    </row>
    <row r="48" spans="1:2">
      <c r="A48" s="195" t="s">
        <v>481</v>
      </c>
      <c r="B48" s="196" t="s">
        <v>482</v>
      </c>
    </row>
    <row r="49" spans="1:2">
      <c r="A49" s="195" t="s">
        <v>483</v>
      </c>
      <c r="B49" s="196" t="s">
        <v>484</v>
      </c>
    </row>
    <row r="50" spans="1:2">
      <c r="A50" s="195" t="s">
        <v>485</v>
      </c>
      <c r="B50" s="196" t="s">
        <v>486</v>
      </c>
    </row>
    <row r="51" spans="1:2">
      <c r="A51" s="195" t="s">
        <v>487</v>
      </c>
      <c r="B51" s="196" t="s">
        <v>488</v>
      </c>
    </row>
    <row r="52" spans="1:2">
      <c r="A52" s="195" t="s">
        <v>489</v>
      </c>
      <c r="B52" s="196" t="s">
        <v>490</v>
      </c>
    </row>
    <row r="53" spans="1:2">
      <c r="A53" s="195" t="s">
        <v>491</v>
      </c>
      <c r="B53" s="196" t="s">
        <v>492</v>
      </c>
    </row>
    <row r="54" spans="1:2">
      <c r="A54" s="193" t="s">
        <v>119</v>
      </c>
      <c r="B54" s="197" t="s">
        <v>848</v>
      </c>
    </row>
    <row r="55" spans="1:2">
      <c r="A55" s="195" t="s">
        <v>493</v>
      </c>
      <c r="B55" s="196" t="s">
        <v>494</v>
      </c>
    </row>
    <row r="56" spans="1:2">
      <c r="A56" s="195" t="s">
        <v>495</v>
      </c>
      <c r="B56" s="196" t="s">
        <v>496</v>
      </c>
    </row>
    <row r="57" spans="1:2">
      <c r="A57" s="195" t="s">
        <v>497</v>
      </c>
      <c r="B57" s="196" t="s">
        <v>498</v>
      </c>
    </row>
    <row r="58" spans="1:2">
      <c r="A58" s="195" t="s">
        <v>499</v>
      </c>
      <c r="B58" s="196" t="s">
        <v>500</v>
      </c>
    </row>
    <row r="59" spans="1:2">
      <c r="A59" s="195" t="s">
        <v>501</v>
      </c>
      <c r="B59" s="196" t="s">
        <v>502</v>
      </c>
    </row>
    <row r="60" spans="1:2">
      <c r="A60" s="195" t="s">
        <v>503</v>
      </c>
      <c r="B60" s="196" t="s">
        <v>504</v>
      </c>
    </row>
    <row r="61" spans="1:2">
      <c r="A61" s="195" t="s">
        <v>505</v>
      </c>
      <c r="B61" s="196" t="s">
        <v>506</v>
      </c>
    </row>
    <row r="62" spans="1:2">
      <c r="A62" s="195" t="s">
        <v>507</v>
      </c>
      <c r="B62" s="196" t="s">
        <v>508</v>
      </c>
    </row>
    <row r="63" spans="1:2">
      <c r="A63" s="195" t="s">
        <v>509</v>
      </c>
      <c r="B63" s="196" t="s">
        <v>510</v>
      </c>
    </row>
    <row r="64" spans="1:2">
      <c r="A64" s="195" t="s">
        <v>511</v>
      </c>
      <c r="B64" s="196" t="s">
        <v>512</v>
      </c>
    </row>
    <row r="65" spans="1:2">
      <c r="A65" s="195" t="s">
        <v>513</v>
      </c>
      <c r="B65" s="196" t="s">
        <v>514</v>
      </c>
    </row>
    <row r="66" spans="1:2">
      <c r="A66" s="195" t="s">
        <v>515</v>
      </c>
      <c r="B66" s="196" t="s">
        <v>516</v>
      </c>
    </row>
    <row r="67" spans="1:2">
      <c r="A67" s="195" t="s">
        <v>517</v>
      </c>
      <c r="B67" s="196" t="s">
        <v>518</v>
      </c>
    </row>
    <row r="68" spans="1:2">
      <c r="A68" s="195" t="s">
        <v>519</v>
      </c>
      <c r="B68" s="196" t="s">
        <v>520</v>
      </c>
    </row>
    <row r="69" spans="1:2">
      <c r="A69" s="195" t="s">
        <v>521</v>
      </c>
      <c r="B69" s="196" t="s">
        <v>522</v>
      </c>
    </row>
    <row r="70" spans="1:2">
      <c r="A70" s="195" t="s">
        <v>523</v>
      </c>
      <c r="B70" s="196" t="s">
        <v>524</v>
      </c>
    </row>
    <row r="71" spans="1:2">
      <c r="A71" s="195" t="s">
        <v>525</v>
      </c>
      <c r="B71" s="196" t="s">
        <v>526</v>
      </c>
    </row>
    <row r="72" spans="1:2">
      <c r="A72" s="195" t="s">
        <v>527</v>
      </c>
      <c r="B72" s="196" t="s">
        <v>528</v>
      </c>
    </row>
    <row r="73" spans="1:2">
      <c r="A73" s="195" t="s">
        <v>529</v>
      </c>
      <c r="B73" s="196" t="s">
        <v>530</v>
      </c>
    </row>
    <row r="74" spans="1:2">
      <c r="A74" s="195" t="s">
        <v>531</v>
      </c>
      <c r="B74" s="196" t="s">
        <v>532</v>
      </c>
    </row>
    <row r="75" spans="1:2">
      <c r="A75" s="195" t="s">
        <v>533</v>
      </c>
      <c r="B75" s="196" t="s">
        <v>534</v>
      </c>
    </row>
    <row r="76" spans="1:2">
      <c r="A76" s="195" t="s">
        <v>535</v>
      </c>
      <c r="B76" s="196" t="s">
        <v>536</v>
      </c>
    </row>
    <row r="77" spans="1:2">
      <c r="A77" s="195" t="s">
        <v>537</v>
      </c>
      <c r="B77" s="196" t="s">
        <v>538</v>
      </c>
    </row>
    <row r="78" spans="1:2">
      <c r="A78" s="193" t="s">
        <v>127</v>
      </c>
      <c r="B78" s="197" t="s">
        <v>850</v>
      </c>
    </row>
    <row r="79" spans="1:2">
      <c r="A79" s="195" t="s">
        <v>539</v>
      </c>
      <c r="B79" s="196" t="s">
        <v>540</v>
      </c>
    </row>
    <row r="80" spans="1:2">
      <c r="A80" s="195" t="s">
        <v>541</v>
      </c>
      <c r="B80" s="196" t="s">
        <v>542</v>
      </c>
    </row>
    <row r="81" spans="1:2">
      <c r="A81" s="195" t="s">
        <v>543</v>
      </c>
      <c r="B81" s="196" t="s">
        <v>544</v>
      </c>
    </row>
    <row r="82" spans="1:2">
      <c r="A82" s="195" t="s">
        <v>545</v>
      </c>
      <c r="B82" s="196" t="s">
        <v>546</v>
      </c>
    </row>
    <row r="83" spans="1:2">
      <c r="A83" s="195" t="s">
        <v>547</v>
      </c>
      <c r="B83" s="196" t="s">
        <v>548</v>
      </c>
    </row>
    <row r="84" spans="1:2">
      <c r="A84" s="195" t="s">
        <v>549</v>
      </c>
      <c r="B84" s="196" t="s">
        <v>550</v>
      </c>
    </row>
    <row r="85" spans="1:2">
      <c r="A85" s="195" t="s">
        <v>551</v>
      </c>
      <c r="B85" s="196" t="s">
        <v>552</v>
      </c>
    </row>
    <row r="86" spans="1:2">
      <c r="A86" s="195" t="s">
        <v>553</v>
      </c>
      <c r="B86" s="196" t="s">
        <v>554</v>
      </c>
    </row>
    <row r="87" spans="1:2">
      <c r="A87" s="193" t="s">
        <v>133</v>
      </c>
      <c r="B87" s="197" t="s">
        <v>851</v>
      </c>
    </row>
    <row r="88" spans="1:2">
      <c r="A88" s="195" t="s">
        <v>555</v>
      </c>
      <c r="B88" s="196" t="s">
        <v>556</v>
      </c>
    </row>
    <row r="89" spans="1:2">
      <c r="A89" s="195" t="s">
        <v>557</v>
      </c>
      <c r="B89" s="196" t="s">
        <v>558</v>
      </c>
    </row>
    <row r="90" spans="1:2">
      <c r="A90" s="195" t="s">
        <v>559</v>
      </c>
      <c r="B90" s="196" t="s">
        <v>560</v>
      </c>
    </row>
    <row r="91" spans="1:2">
      <c r="A91" s="195" t="s">
        <v>561</v>
      </c>
      <c r="B91" s="196" t="s">
        <v>562</v>
      </c>
    </row>
    <row r="92" spans="1:2">
      <c r="A92" s="195" t="s">
        <v>563</v>
      </c>
      <c r="B92" s="196" t="s">
        <v>564</v>
      </c>
    </row>
    <row r="93" spans="1:2">
      <c r="A93" s="195" t="s">
        <v>565</v>
      </c>
      <c r="B93" s="196" t="s">
        <v>566</v>
      </c>
    </row>
    <row r="94" spans="1:2">
      <c r="A94" s="195" t="s">
        <v>567</v>
      </c>
      <c r="B94" s="196" t="s">
        <v>568</v>
      </c>
    </row>
    <row r="95" spans="1:2">
      <c r="A95" s="195" t="s">
        <v>569</v>
      </c>
      <c r="B95" s="196" t="s">
        <v>570</v>
      </c>
    </row>
    <row r="96" spans="1:2">
      <c r="A96" s="193" t="s">
        <v>135</v>
      </c>
      <c r="B96" s="197" t="s">
        <v>852</v>
      </c>
    </row>
    <row r="97" spans="1:2">
      <c r="A97" s="195" t="s">
        <v>571</v>
      </c>
      <c r="B97" s="196" t="s">
        <v>572</v>
      </c>
    </row>
    <row r="98" spans="1:2">
      <c r="A98" s="195" t="s">
        <v>573</v>
      </c>
      <c r="B98" s="196" t="s">
        <v>574</v>
      </c>
    </row>
    <row r="99" spans="1:2">
      <c r="A99" s="195" t="s">
        <v>575</v>
      </c>
      <c r="B99" s="196" t="s">
        <v>576</v>
      </c>
    </row>
    <row r="100" spans="1:2">
      <c r="A100" s="193" t="s">
        <v>137</v>
      </c>
      <c r="B100" s="197" t="s">
        <v>853</v>
      </c>
    </row>
    <row r="101" spans="1:2">
      <c r="A101" s="195" t="s">
        <v>577</v>
      </c>
      <c r="B101" s="196" t="s">
        <v>578</v>
      </c>
    </row>
    <row r="102" spans="1:2">
      <c r="A102" s="195" t="s">
        <v>579</v>
      </c>
      <c r="B102" s="196" t="s">
        <v>580</v>
      </c>
    </row>
    <row r="103" spans="1:2">
      <c r="A103" s="195" t="s">
        <v>581</v>
      </c>
      <c r="B103" s="196" t="s">
        <v>582</v>
      </c>
    </row>
    <row r="104" spans="1:2">
      <c r="A104" s="195" t="s">
        <v>583</v>
      </c>
      <c r="B104" s="196" t="s">
        <v>584</v>
      </c>
    </row>
    <row r="105" spans="1:2">
      <c r="A105" s="195" t="s">
        <v>585</v>
      </c>
      <c r="B105" s="196" t="s">
        <v>586</v>
      </c>
    </row>
    <row r="106" spans="1:2">
      <c r="A106" s="195" t="s">
        <v>587</v>
      </c>
      <c r="B106" s="196" t="s">
        <v>588</v>
      </c>
    </row>
    <row r="107" spans="1:2">
      <c r="A107" s="195" t="s">
        <v>589</v>
      </c>
      <c r="B107" s="196" t="s">
        <v>590</v>
      </c>
    </row>
    <row r="108" spans="1:2">
      <c r="A108" s="195" t="s">
        <v>591</v>
      </c>
      <c r="B108" s="196" t="s">
        <v>592</v>
      </c>
    </row>
    <row r="109" spans="1:2">
      <c r="A109" s="195" t="s">
        <v>593</v>
      </c>
      <c r="B109" s="196" t="s">
        <v>594</v>
      </c>
    </row>
    <row r="110" spans="1:2">
      <c r="A110" s="195" t="s">
        <v>595</v>
      </c>
      <c r="B110" s="196" t="s">
        <v>596</v>
      </c>
    </row>
    <row r="111" spans="1:2">
      <c r="A111" s="195" t="s">
        <v>597</v>
      </c>
      <c r="B111" s="196" t="s">
        <v>598</v>
      </c>
    </row>
    <row r="112" spans="1:2" ht="22.5">
      <c r="A112" s="195" t="s">
        <v>599</v>
      </c>
      <c r="B112" s="196" t="s">
        <v>600</v>
      </c>
    </row>
    <row r="113" spans="1:2">
      <c r="A113" s="195" t="s">
        <v>601</v>
      </c>
      <c r="B113" s="196" t="s">
        <v>602</v>
      </c>
    </row>
    <row r="114" spans="1:2">
      <c r="A114" s="195" t="s">
        <v>603</v>
      </c>
      <c r="B114" s="196" t="s">
        <v>604</v>
      </c>
    </row>
    <row r="115" spans="1:2">
      <c r="A115" s="195" t="s">
        <v>605</v>
      </c>
      <c r="B115" s="196" t="s">
        <v>606</v>
      </c>
    </row>
    <row r="116" spans="1:2">
      <c r="A116" s="195" t="s">
        <v>607</v>
      </c>
      <c r="B116" s="196" t="s">
        <v>608</v>
      </c>
    </row>
    <row r="117" spans="1:2">
      <c r="A117" s="195" t="s">
        <v>609</v>
      </c>
      <c r="B117" s="196" t="s">
        <v>610</v>
      </c>
    </row>
    <row r="118" spans="1:2">
      <c r="A118" s="195" t="s">
        <v>611</v>
      </c>
      <c r="B118" s="196" t="s">
        <v>612</v>
      </c>
    </row>
    <row r="119" spans="1:2">
      <c r="A119" s="195" t="s">
        <v>613</v>
      </c>
      <c r="B119" s="196" t="s">
        <v>614</v>
      </c>
    </row>
    <row r="120" spans="1:2">
      <c r="A120" s="195" t="s">
        <v>615</v>
      </c>
      <c r="B120" s="196" t="s">
        <v>616</v>
      </c>
    </row>
    <row r="121" spans="1:2">
      <c r="A121" s="195" t="s">
        <v>617</v>
      </c>
      <c r="B121" s="196" t="s">
        <v>618</v>
      </c>
    </row>
    <row r="122" spans="1:2">
      <c r="A122" s="195" t="s">
        <v>619</v>
      </c>
      <c r="B122" s="196" t="s">
        <v>620</v>
      </c>
    </row>
    <row r="123" spans="1:2">
      <c r="A123" s="195" t="s">
        <v>621</v>
      </c>
      <c r="B123" s="196" t="s">
        <v>622</v>
      </c>
    </row>
    <row r="124" spans="1:2">
      <c r="A124" s="195" t="s">
        <v>623</v>
      </c>
      <c r="B124" s="196" t="s">
        <v>624</v>
      </c>
    </row>
    <row r="125" spans="1:2">
      <c r="A125" s="195" t="s">
        <v>625</v>
      </c>
      <c r="B125" s="196" t="s">
        <v>626</v>
      </c>
    </row>
    <row r="126" spans="1:2">
      <c r="A126" s="195" t="s">
        <v>627</v>
      </c>
      <c r="B126" s="196" t="s">
        <v>628</v>
      </c>
    </row>
    <row r="127" spans="1:2">
      <c r="A127" s="195" t="s">
        <v>629</v>
      </c>
      <c r="B127" s="196" t="s">
        <v>630</v>
      </c>
    </row>
    <row r="128" spans="1:2">
      <c r="A128" s="195" t="s">
        <v>631</v>
      </c>
      <c r="B128" s="196" t="s">
        <v>632</v>
      </c>
    </row>
    <row r="129" spans="1:2">
      <c r="A129" s="195" t="s">
        <v>633</v>
      </c>
      <c r="B129" s="196" t="s">
        <v>632</v>
      </c>
    </row>
    <row r="130" spans="1:2">
      <c r="A130" s="195" t="s">
        <v>634</v>
      </c>
      <c r="B130" s="196" t="s">
        <v>635</v>
      </c>
    </row>
    <row r="131" spans="1:2">
      <c r="A131" s="195" t="s">
        <v>636</v>
      </c>
      <c r="B131" s="196" t="s">
        <v>637</v>
      </c>
    </row>
    <row r="132" spans="1:2">
      <c r="A132" s="195" t="s">
        <v>638</v>
      </c>
      <c r="B132" s="196" t="s">
        <v>635</v>
      </c>
    </row>
    <row r="133" spans="1:2">
      <c r="A133" s="193" t="s">
        <v>141</v>
      </c>
      <c r="B133" s="197" t="s">
        <v>854</v>
      </c>
    </row>
    <row r="134" spans="1:2">
      <c r="A134" s="195" t="s">
        <v>639</v>
      </c>
      <c r="B134" s="196" t="s">
        <v>640</v>
      </c>
    </row>
    <row r="135" spans="1:2">
      <c r="A135" s="195" t="s">
        <v>641</v>
      </c>
      <c r="B135" s="196" t="s">
        <v>642</v>
      </c>
    </row>
    <row r="136" spans="1:2">
      <c r="A136" s="195" t="s">
        <v>643</v>
      </c>
      <c r="B136" s="196" t="s">
        <v>644</v>
      </c>
    </row>
    <row r="137" spans="1:2">
      <c r="A137" s="195" t="s">
        <v>645</v>
      </c>
      <c r="B137" s="196" t="s">
        <v>646</v>
      </c>
    </row>
    <row r="138" spans="1:2">
      <c r="A138" s="195" t="s">
        <v>647</v>
      </c>
      <c r="B138" s="196" t="s">
        <v>648</v>
      </c>
    </row>
    <row r="139" spans="1:2">
      <c r="A139" s="195" t="s">
        <v>649</v>
      </c>
      <c r="B139" s="196" t="s">
        <v>650</v>
      </c>
    </row>
    <row r="140" spans="1:2">
      <c r="A140" s="195" t="s">
        <v>651</v>
      </c>
      <c r="B140" s="196" t="s">
        <v>652</v>
      </c>
    </row>
    <row r="141" spans="1:2">
      <c r="A141" s="195" t="s">
        <v>653</v>
      </c>
      <c r="B141" s="196" t="s">
        <v>654</v>
      </c>
    </row>
    <row r="142" spans="1:2">
      <c r="A142" s="195" t="s">
        <v>655</v>
      </c>
      <c r="B142" s="196" t="s">
        <v>656</v>
      </c>
    </row>
    <row r="143" spans="1:2">
      <c r="A143" s="195" t="s">
        <v>657</v>
      </c>
      <c r="B143" s="196" t="s">
        <v>658</v>
      </c>
    </row>
    <row r="144" spans="1:2">
      <c r="A144" s="195" t="s">
        <v>659</v>
      </c>
      <c r="B144" s="196" t="s">
        <v>660</v>
      </c>
    </row>
    <row r="145" spans="1:2">
      <c r="A145" s="195" t="s">
        <v>661</v>
      </c>
      <c r="B145" s="196" t="s">
        <v>662</v>
      </c>
    </row>
    <row r="146" spans="1:2">
      <c r="A146" s="195" t="s">
        <v>663</v>
      </c>
      <c r="B146" s="196" t="s">
        <v>664</v>
      </c>
    </row>
    <row r="147" spans="1:2">
      <c r="A147" s="195" t="s">
        <v>665</v>
      </c>
      <c r="B147" s="196" t="s">
        <v>666</v>
      </c>
    </row>
    <row r="148" spans="1:2">
      <c r="A148" s="195" t="s">
        <v>667</v>
      </c>
      <c r="B148" s="196" t="s">
        <v>668</v>
      </c>
    </row>
    <row r="149" spans="1:2">
      <c r="A149" s="195" t="s">
        <v>669</v>
      </c>
      <c r="B149" s="196" t="s">
        <v>670</v>
      </c>
    </row>
    <row r="150" spans="1:2">
      <c r="A150" s="195" t="s">
        <v>671</v>
      </c>
      <c r="B150" s="196" t="s">
        <v>672</v>
      </c>
    </row>
    <row r="151" spans="1:2">
      <c r="A151" s="195" t="s">
        <v>673</v>
      </c>
      <c r="B151" s="196" t="s">
        <v>674</v>
      </c>
    </row>
    <row r="152" spans="1:2">
      <c r="A152" s="195" t="s">
        <v>675</v>
      </c>
      <c r="B152" s="196" t="s">
        <v>676</v>
      </c>
    </row>
    <row r="153" spans="1:2">
      <c r="A153" s="195" t="s">
        <v>677</v>
      </c>
      <c r="B153" s="196" t="s">
        <v>678</v>
      </c>
    </row>
    <row r="154" spans="1:2">
      <c r="A154" s="195" t="s">
        <v>679</v>
      </c>
      <c r="B154" s="196" t="s">
        <v>680</v>
      </c>
    </row>
    <row r="155" spans="1:2">
      <c r="A155" s="195" t="s">
        <v>681</v>
      </c>
      <c r="B155" s="196" t="s">
        <v>682</v>
      </c>
    </row>
    <row r="156" spans="1:2">
      <c r="A156" s="195" t="s">
        <v>683</v>
      </c>
      <c r="B156" s="196" t="s">
        <v>684</v>
      </c>
    </row>
    <row r="157" spans="1:2">
      <c r="A157" s="195" t="s">
        <v>685</v>
      </c>
      <c r="B157" s="196" t="s">
        <v>686</v>
      </c>
    </row>
    <row r="158" spans="1:2">
      <c r="A158" s="195" t="s">
        <v>687</v>
      </c>
      <c r="B158" s="196" t="s">
        <v>688</v>
      </c>
    </row>
    <row r="159" spans="1:2">
      <c r="A159" s="195" t="s">
        <v>689</v>
      </c>
      <c r="B159" s="196" t="s">
        <v>690</v>
      </c>
    </row>
    <row r="160" spans="1:2">
      <c r="A160" s="195" t="s">
        <v>691</v>
      </c>
      <c r="B160" s="196" t="s">
        <v>692</v>
      </c>
    </row>
    <row r="161" spans="1:2">
      <c r="A161" s="195" t="s">
        <v>693</v>
      </c>
      <c r="B161" s="196" t="s">
        <v>694</v>
      </c>
    </row>
    <row r="162" spans="1:2">
      <c r="A162" s="195" t="s">
        <v>695</v>
      </c>
      <c r="B162" s="196" t="s">
        <v>696</v>
      </c>
    </row>
    <row r="163" spans="1:2">
      <c r="A163" s="195" t="s">
        <v>697</v>
      </c>
      <c r="B163" s="196" t="s">
        <v>698</v>
      </c>
    </row>
    <row r="164" spans="1:2">
      <c r="A164" s="195" t="s">
        <v>699</v>
      </c>
      <c r="B164" s="196" t="s">
        <v>700</v>
      </c>
    </row>
    <row r="165" spans="1:2">
      <c r="A165" s="195" t="s">
        <v>701</v>
      </c>
      <c r="B165" s="196" t="s">
        <v>702</v>
      </c>
    </row>
    <row r="166" spans="1:2">
      <c r="A166" s="195" t="s">
        <v>703</v>
      </c>
      <c r="B166" s="196" t="s">
        <v>704</v>
      </c>
    </row>
    <row r="167" spans="1:2">
      <c r="A167" s="195" t="s">
        <v>705</v>
      </c>
      <c r="B167" s="196" t="s">
        <v>706</v>
      </c>
    </row>
    <row r="168" spans="1:2">
      <c r="A168" s="195" t="s">
        <v>707</v>
      </c>
      <c r="B168" s="196" t="s">
        <v>708</v>
      </c>
    </row>
    <row r="169" spans="1:2">
      <c r="A169" s="195" t="s">
        <v>709</v>
      </c>
      <c r="B169" s="196" t="s">
        <v>710</v>
      </c>
    </row>
    <row r="170" spans="1:2">
      <c r="A170" s="195" t="s">
        <v>711</v>
      </c>
      <c r="B170" s="196" t="s">
        <v>712</v>
      </c>
    </row>
    <row r="171" spans="1:2">
      <c r="A171" s="195" t="s">
        <v>713</v>
      </c>
      <c r="B171" s="196" t="s">
        <v>714</v>
      </c>
    </row>
    <row r="172" spans="1:2">
      <c r="A172" s="195" t="s">
        <v>715</v>
      </c>
      <c r="B172" s="196" t="s">
        <v>716</v>
      </c>
    </row>
    <row r="173" spans="1:2">
      <c r="A173" s="195" t="s">
        <v>717</v>
      </c>
      <c r="B173" s="196" t="s">
        <v>718</v>
      </c>
    </row>
    <row r="174" spans="1:2">
      <c r="A174" s="195" t="s">
        <v>719</v>
      </c>
      <c r="B174" s="196" t="s">
        <v>720</v>
      </c>
    </row>
    <row r="175" spans="1:2">
      <c r="A175" s="195" t="s">
        <v>721</v>
      </c>
      <c r="B175" s="196" t="s">
        <v>722</v>
      </c>
    </row>
    <row r="176" spans="1:2">
      <c r="A176" s="195" t="s">
        <v>723</v>
      </c>
      <c r="B176" s="196" t="s">
        <v>724</v>
      </c>
    </row>
    <row r="177" spans="1:2">
      <c r="A177" s="195" t="s">
        <v>725</v>
      </c>
      <c r="B177" s="196" t="s">
        <v>726</v>
      </c>
    </row>
    <row r="178" spans="1:2">
      <c r="A178" s="195" t="s">
        <v>727</v>
      </c>
      <c r="B178" s="196" t="s">
        <v>728</v>
      </c>
    </row>
    <row r="179" spans="1:2">
      <c r="A179" s="195" t="s">
        <v>729</v>
      </c>
      <c r="B179" s="196" t="s">
        <v>730</v>
      </c>
    </row>
    <row r="180" spans="1:2">
      <c r="A180" s="195" t="s">
        <v>731</v>
      </c>
      <c r="B180" s="196" t="s">
        <v>732</v>
      </c>
    </row>
    <row r="181" spans="1:2">
      <c r="A181" s="195" t="s">
        <v>733</v>
      </c>
      <c r="B181" s="196" t="s">
        <v>734</v>
      </c>
    </row>
    <row r="182" spans="1:2">
      <c r="A182" s="195" t="s">
        <v>735</v>
      </c>
      <c r="B182" s="196" t="s">
        <v>736</v>
      </c>
    </row>
    <row r="183" spans="1:2">
      <c r="A183" s="195" t="s">
        <v>737</v>
      </c>
      <c r="B183" s="196" t="s">
        <v>738</v>
      </c>
    </row>
    <row r="184" spans="1:2">
      <c r="A184" s="195" t="s">
        <v>739</v>
      </c>
      <c r="B184" s="196" t="s">
        <v>740</v>
      </c>
    </row>
    <row r="185" spans="1:2">
      <c r="A185" s="195" t="s">
        <v>741</v>
      </c>
      <c r="B185" s="196" t="s">
        <v>742</v>
      </c>
    </row>
    <row r="186" spans="1:2">
      <c r="A186" s="195" t="s">
        <v>743</v>
      </c>
      <c r="B186" s="196" t="s">
        <v>744</v>
      </c>
    </row>
    <row r="187" spans="1:2">
      <c r="A187" s="195" t="s">
        <v>745</v>
      </c>
      <c r="B187" s="196" t="s">
        <v>746</v>
      </c>
    </row>
    <row r="188" spans="1:2">
      <c r="A188" s="193" t="s">
        <v>147</v>
      </c>
      <c r="B188" s="197" t="s">
        <v>855</v>
      </c>
    </row>
    <row r="189" spans="1:2">
      <c r="A189" s="195" t="s">
        <v>747</v>
      </c>
      <c r="B189" s="196" t="s">
        <v>748</v>
      </c>
    </row>
    <row r="190" spans="1:2">
      <c r="A190" s="195" t="s">
        <v>749</v>
      </c>
      <c r="B190" s="196" t="s">
        <v>750</v>
      </c>
    </row>
    <row r="191" spans="1:2">
      <c r="A191" s="195" t="s">
        <v>751</v>
      </c>
      <c r="B191" s="196" t="s">
        <v>752</v>
      </c>
    </row>
    <row r="192" spans="1:2">
      <c r="A192" s="195" t="s">
        <v>753</v>
      </c>
      <c r="B192" s="196" t="s">
        <v>754</v>
      </c>
    </row>
    <row r="193" spans="1:2">
      <c r="A193" s="193" t="s">
        <v>270</v>
      </c>
      <c r="B193" s="197" t="s">
        <v>456</v>
      </c>
    </row>
    <row r="194" spans="1:2">
      <c r="A194" s="195" t="s">
        <v>755</v>
      </c>
      <c r="B194" s="196" t="s">
        <v>353</v>
      </c>
    </row>
    <row r="195" spans="1:2">
      <c r="A195" s="195" t="s">
        <v>756</v>
      </c>
      <c r="B195" s="196" t="s">
        <v>354</v>
      </c>
    </row>
    <row r="196" spans="1:2">
      <c r="A196" s="195" t="s">
        <v>757</v>
      </c>
      <c r="B196" s="196" t="s">
        <v>758</v>
      </c>
    </row>
    <row r="197" spans="1:2">
      <c r="A197" s="195" t="s">
        <v>759</v>
      </c>
      <c r="B197" s="196" t="s">
        <v>760</v>
      </c>
    </row>
    <row r="198" spans="1:2">
      <c r="A198" s="193" t="s">
        <v>457</v>
      </c>
      <c r="B198" s="197" t="s">
        <v>458</v>
      </c>
    </row>
    <row r="199" spans="1:2">
      <c r="A199" s="195" t="s">
        <v>761</v>
      </c>
      <c r="B199" s="196" t="s">
        <v>762</v>
      </c>
    </row>
    <row r="200" spans="1:2">
      <c r="A200" s="195" t="s">
        <v>763</v>
      </c>
      <c r="B200" s="196" t="s">
        <v>764</v>
      </c>
    </row>
    <row r="201" spans="1:2">
      <c r="A201" s="195" t="s">
        <v>765</v>
      </c>
      <c r="B201" s="196" t="s">
        <v>766</v>
      </c>
    </row>
    <row r="202" spans="1:2">
      <c r="A202" s="193" t="s">
        <v>459</v>
      </c>
      <c r="B202" s="197" t="s">
        <v>460</v>
      </c>
    </row>
    <row r="203" spans="1:2">
      <c r="A203" s="195" t="s">
        <v>767</v>
      </c>
      <c r="B203" s="196" t="s">
        <v>768</v>
      </c>
    </row>
    <row r="204" spans="1:2">
      <c r="A204" s="191" t="s">
        <v>376</v>
      </c>
      <c r="B204" s="198" t="s">
        <v>868</v>
      </c>
    </row>
    <row r="205" spans="1:2">
      <c r="A205" s="193" t="s">
        <v>866</v>
      </c>
      <c r="B205" s="197" t="s">
        <v>867</v>
      </c>
    </row>
    <row r="206" spans="1:2">
      <c r="A206" s="193" t="s">
        <v>467</v>
      </c>
      <c r="B206" s="197" t="s">
        <v>872</v>
      </c>
    </row>
    <row r="207" spans="1:2">
      <c r="A207" s="195" t="s">
        <v>769</v>
      </c>
      <c r="B207" s="196" t="s">
        <v>770</v>
      </c>
    </row>
    <row r="208" spans="1:2">
      <c r="A208" s="195" t="s">
        <v>771</v>
      </c>
      <c r="B208" s="196" t="s">
        <v>772</v>
      </c>
    </row>
    <row r="209" spans="1:2">
      <c r="A209" s="195" t="s">
        <v>773</v>
      </c>
      <c r="B209" s="196" t="s">
        <v>774</v>
      </c>
    </row>
    <row r="210" spans="1:2">
      <c r="A210" s="195" t="s">
        <v>775</v>
      </c>
      <c r="B210" s="196" t="s">
        <v>776</v>
      </c>
    </row>
    <row r="211" spans="1:2">
      <c r="A211" s="195" t="s">
        <v>777</v>
      </c>
      <c r="B211" s="196" t="s">
        <v>778</v>
      </c>
    </row>
    <row r="212" spans="1:2">
      <c r="A212" s="195" t="s">
        <v>779</v>
      </c>
      <c r="B212" s="196" t="s">
        <v>780</v>
      </c>
    </row>
    <row r="213" spans="1:2">
      <c r="A213" s="195" t="s">
        <v>781</v>
      </c>
      <c r="B213" s="196" t="s">
        <v>782</v>
      </c>
    </row>
    <row r="214" spans="1:2">
      <c r="A214" s="195" t="s">
        <v>783</v>
      </c>
      <c r="B214" s="196" t="s">
        <v>784</v>
      </c>
    </row>
    <row r="215" spans="1:2">
      <c r="A215" s="195" t="s">
        <v>785</v>
      </c>
      <c r="B215" s="196" t="s">
        <v>786</v>
      </c>
    </row>
    <row r="216" spans="1:2">
      <c r="A216" s="195" t="s">
        <v>787</v>
      </c>
      <c r="B216" s="196" t="s">
        <v>788</v>
      </c>
    </row>
    <row r="217" spans="1:2">
      <c r="A217" s="195" t="s">
        <v>789</v>
      </c>
      <c r="B217" s="196" t="s">
        <v>790</v>
      </c>
    </row>
    <row r="218" spans="1:2">
      <c r="A218" s="195" t="s">
        <v>791</v>
      </c>
      <c r="B218" s="196" t="s">
        <v>792</v>
      </c>
    </row>
    <row r="219" spans="1:2">
      <c r="A219" s="195" t="s">
        <v>793</v>
      </c>
      <c r="B219" s="196" t="s">
        <v>794</v>
      </c>
    </row>
    <row r="220" spans="1:2">
      <c r="A220" s="195" t="s">
        <v>795</v>
      </c>
      <c r="B220" s="196" t="s">
        <v>796</v>
      </c>
    </row>
    <row r="221" spans="1:2">
      <c r="A221" s="195" t="s">
        <v>797</v>
      </c>
      <c r="B221" s="196" t="s">
        <v>798</v>
      </c>
    </row>
    <row r="222" spans="1:2">
      <c r="A222" s="195" t="s">
        <v>799</v>
      </c>
      <c r="B222" s="196" t="s">
        <v>800</v>
      </c>
    </row>
    <row r="223" spans="1:2">
      <c r="A223" s="195" t="s">
        <v>801</v>
      </c>
      <c r="B223" s="196" t="s">
        <v>802</v>
      </c>
    </row>
    <row r="224" spans="1:2">
      <c r="A224" s="195" t="s">
        <v>803</v>
      </c>
      <c r="B224" s="196" t="s">
        <v>804</v>
      </c>
    </row>
    <row r="225" spans="1:2">
      <c r="A225" s="195" t="s">
        <v>805</v>
      </c>
      <c r="B225" s="196" t="s">
        <v>806</v>
      </c>
    </row>
    <row r="226" spans="1:2" ht="22.5">
      <c r="A226" s="195" t="s">
        <v>807</v>
      </c>
      <c r="B226" s="196" t="s">
        <v>808</v>
      </c>
    </row>
    <row r="227" spans="1:2">
      <c r="A227" s="195" t="s">
        <v>809</v>
      </c>
      <c r="B227" s="196" t="s">
        <v>810</v>
      </c>
    </row>
    <row r="228" spans="1:2">
      <c r="A228" s="195" t="s">
        <v>811</v>
      </c>
      <c r="B228" s="196" t="s">
        <v>812</v>
      </c>
    </row>
    <row r="229" spans="1:2">
      <c r="A229" s="195" t="s">
        <v>813</v>
      </c>
      <c r="B229" s="196" t="s">
        <v>814</v>
      </c>
    </row>
    <row r="230" spans="1:2">
      <c r="A230" s="195" t="s">
        <v>815</v>
      </c>
      <c r="B230" s="196" t="s">
        <v>816</v>
      </c>
    </row>
    <row r="231" spans="1:2">
      <c r="A231" s="195" t="s">
        <v>817</v>
      </c>
      <c r="B231" s="196" t="s">
        <v>818</v>
      </c>
    </row>
    <row r="232" spans="1:2">
      <c r="A232" s="195" t="s">
        <v>819</v>
      </c>
      <c r="B232" s="196" t="s">
        <v>820</v>
      </c>
    </row>
    <row r="233" spans="1:2">
      <c r="A233" s="195" t="s">
        <v>821</v>
      </c>
      <c r="B233" s="196" t="s">
        <v>822</v>
      </c>
    </row>
    <row r="234" spans="1:2">
      <c r="A234" s="195" t="s">
        <v>823</v>
      </c>
      <c r="B234" s="196" t="s">
        <v>824</v>
      </c>
    </row>
    <row r="235" spans="1:2">
      <c r="A235" s="195" t="s">
        <v>825</v>
      </c>
      <c r="B235" s="196" t="s">
        <v>826</v>
      </c>
    </row>
    <row r="236" spans="1:2">
      <c r="A236" s="195" t="s">
        <v>827</v>
      </c>
      <c r="B236" s="196" t="s">
        <v>828</v>
      </c>
    </row>
    <row r="237" spans="1:2">
      <c r="A237" s="195" t="s">
        <v>829</v>
      </c>
      <c r="B237" s="196" t="s">
        <v>830</v>
      </c>
    </row>
    <row r="238" spans="1:2">
      <c r="A238" s="195" t="s">
        <v>831</v>
      </c>
      <c r="B238" s="196" t="s">
        <v>832</v>
      </c>
    </row>
    <row r="239" spans="1:2">
      <c r="A239" s="195" t="s">
        <v>833</v>
      </c>
      <c r="B239" s="196" t="s">
        <v>834</v>
      </c>
    </row>
    <row r="240" spans="1:2">
      <c r="A240" s="195" t="s">
        <v>835</v>
      </c>
      <c r="B240" s="196" t="s">
        <v>836</v>
      </c>
    </row>
    <row r="241" spans="1:2">
      <c r="A241" s="193" t="s">
        <v>473</v>
      </c>
      <c r="B241" s="197" t="s">
        <v>456</v>
      </c>
    </row>
    <row r="242" spans="1:2">
      <c r="A242" s="195" t="s">
        <v>837</v>
      </c>
      <c r="B242" s="196" t="s">
        <v>353</v>
      </c>
    </row>
    <row r="243" spans="1:2">
      <c r="A243" s="195" t="s">
        <v>838</v>
      </c>
      <c r="B243" s="196" t="s">
        <v>354</v>
      </c>
    </row>
    <row r="244" spans="1:2">
      <c r="A244" s="195" t="s">
        <v>839</v>
      </c>
      <c r="B244" s="196" t="s">
        <v>840</v>
      </c>
    </row>
    <row r="245" spans="1:2">
      <c r="A245" s="195" t="s">
        <v>841</v>
      </c>
      <c r="B245" s="196" t="s">
        <v>758</v>
      </c>
    </row>
    <row r="246" spans="1:2">
      <c r="A246" s="191" t="s">
        <v>931</v>
      </c>
      <c r="B246" s="198" t="s">
        <v>932</v>
      </c>
    </row>
    <row r="247" spans="1:2">
      <c r="A247" s="193" t="s">
        <v>933</v>
      </c>
      <c r="B247" s="197" t="s">
        <v>934</v>
      </c>
    </row>
    <row r="248" spans="1:2">
      <c r="A248" s="193" t="s">
        <v>961</v>
      </c>
      <c r="B248" s="197" t="s">
        <v>962</v>
      </c>
    </row>
    <row r="249" spans="1:2">
      <c r="A249" s="195" t="s">
        <v>1198</v>
      </c>
      <c r="B249" s="196" t="s">
        <v>1199</v>
      </c>
    </row>
    <row r="250" spans="1:2">
      <c r="A250" s="193" t="s">
        <v>963</v>
      </c>
      <c r="B250" s="197" t="s">
        <v>964</v>
      </c>
    </row>
    <row r="251" spans="1:2">
      <c r="A251" s="195" t="s">
        <v>1200</v>
      </c>
      <c r="B251" s="196" t="s">
        <v>1201</v>
      </c>
    </row>
    <row r="252" spans="1:2">
      <c r="A252" s="195" t="s">
        <v>1202</v>
      </c>
      <c r="B252" s="196" t="s">
        <v>1203</v>
      </c>
    </row>
    <row r="253" spans="1:2">
      <c r="A253" s="191" t="s">
        <v>971</v>
      </c>
      <c r="B253" s="198" t="s">
        <v>972</v>
      </c>
    </row>
    <row r="254" spans="1:2">
      <c r="A254" s="193" t="s">
        <v>933</v>
      </c>
      <c r="B254" s="197" t="s">
        <v>934</v>
      </c>
    </row>
    <row r="255" spans="1:2">
      <c r="A255" s="193" t="s">
        <v>981</v>
      </c>
      <c r="B255" s="197" t="s">
        <v>982</v>
      </c>
    </row>
    <row r="256" spans="1:2">
      <c r="A256" s="195" t="s">
        <v>1204</v>
      </c>
      <c r="B256" s="196" t="s">
        <v>1205</v>
      </c>
    </row>
    <row r="257" spans="1:2">
      <c r="A257" s="195" t="s">
        <v>1206</v>
      </c>
      <c r="B257" s="196" t="s">
        <v>1207</v>
      </c>
    </row>
    <row r="258" spans="1:2">
      <c r="A258" s="195" t="s">
        <v>1208</v>
      </c>
      <c r="B258" s="196" t="s">
        <v>1209</v>
      </c>
    </row>
    <row r="259" spans="1:2">
      <c r="A259" s="191" t="s">
        <v>1102</v>
      </c>
      <c r="B259" s="198" t="s">
        <v>1103</v>
      </c>
    </row>
    <row r="260" spans="1:2">
      <c r="A260" s="193" t="s">
        <v>876</v>
      </c>
      <c r="B260" s="197" t="s">
        <v>877</v>
      </c>
    </row>
    <row r="261" spans="1:2">
      <c r="A261" s="193" t="s">
        <v>1132</v>
      </c>
      <c r="B261" s="197" t="s">
        <v>458</v>
      </c>
    </row>
    <row r="262" spans="1:2">
      <c r="A262" s="195" t="s">
        <v>1210</v>
      </c>
      <c r="B262" s="196" t="s">
        <v>1211</v>
      </c>
    </row>
    <row r="263" spans="1:2">
      <c r="A263" s="195" t="s">
        <v>1212</v>
      </c>
      <c r="B263" s="196" t="s">
        <v>1213</v>
      </c>
    </row>
    <row r="264" spans="1:2">
      <c r="A264" s="195" t="s">
        <v>1214</v>
      </c>
      <c r="B264" s="196" t="s">
        <v>1215</v>
      </c>
    </row>
    <row r="265" spans="1:2">
      <c r="A265" s="195" t="s">
        <v>1216</v>
      </c>
      <c r="B265" s="196" t="s">
        <v>1217</v>
      </c>
    </row>
    <row r="266" spans="1:2">
      <c r="A266" s="195" t="s">
        <v>1218</v>
      </c>
      <c r="B266" s="196" t="s">
        <v>1219</v>
      </c>
    </row>
    <row r="267" spans="1:2">
      <c r="A267" s="195" t="s">
        <v>1220</v>
      </c>
      <c r="B267" s="196" t="s">
        <v>1221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9</vt:i4>
      </vt:variant>
      <vt:variant>
        <vt:lpstr>Imenovani rasponi</vt:lpstr>
      </vt:variant>
      <vt:variant>
        <vt:i4>7</vt:i4>
      </vt:variant>
    </vt:vector>
  </HeadingPairs>
  <TitlesOfParts>
    <vt:vector size="16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Korisnik</cp:lastModifiedBy>
  <cp:lastPrinted>2018-09-13T07:01:06Z</cp:lastPrinted>
  <dcterms:created xsi:type="dcterms:W3CDTF">2018-09-10T07:36:17Z</dcterms:created>
  <dcterms:modified xsi:type="dcterms:W3CDTF">2019-12-23T11:13:16Z</dcterms:modified>
</cp:coreProperties>
</file>