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/>
  <xr:revisionPtr revIDLastSave="0" documentId="13_ncr:1_{6A8BD610-F573-45FF-B241-EC9CA2CF1952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SAŽETAK " sheetId="2" r:id="rId1"/>
    <sheet name="RAČUN PRIHODA I RASHODA" sheetId="3" r:id="rId2"/>
    <sheet name="08006 POSEBNI DIO FP" sheetId="4" r:id="rId3"/>
    <sheet name="Unos rashoda P4" sheetId="6" r:id="rId4"/>
  </sheets>
  <externalReferences>
    <externalReference r:id="rId5"/>
    <externalReference r:id="rId6"/>
    <externalReference r:id="rId7"/>
  </externalReferences>
  <definedNames>
    <definedName name="_xlnm._FilterDatabase" localSheetId="2" hidden="1">'08006 POSEBNI DIO FP'!$A$6:$N$6</definedName>
    <definedName name="_xlnm._FilterDatabase" localSheetId="3" hidden="1">'Unos rashoda P4'!$A$2:$J$3</definedName>
    <definedName name="_xlnm.Print_Titles" localSheetId="2">'08006 POSEBNI DIO FP'!$1:$4</definedName>
    <definedName name="_xlnm.Print_Titles" localSheetId="3">'Unos rashoda P4'!$2:$2</definedName>
    <definedName name="_xlnm.Print_Area" localSheetId="1">'RAČUN PRIHODA I RASHODA'!$A$1:$G$496</definedName>
    <definedName name="_xlnm.Print_Area" localSheetId="0">'SAŽETAK '!$A$1:$H$13</definedName>
    <definedName name="_xlnm.Print_Area" localSheetId="3">'Unos rashoda P4'!$A$2:$J$3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8" i="3" l="1"/>
  <c r="H62" i="6"/>
  <c r="H63" i="6"/>
  <c r="B32" i="6" l="1"/>
  <c r="D32" i="6"/>
  <c r="F32" i="6"/>
  <c r="B33" i="6"/>
  <c r="D33" i="6"/>
  <c r="F33" i="6"/>
  <c r="B34" i="6"/>
  <c r="D34" i="6"/>
  <c r="F34" i="6"/>
  <c r="F28" i="6"/>
  <c r="F29" i="6"/>
  <c r="F30" i="6"/>
  <c r="D30" i="6"/>
  <c r="R30" i="6"/>
  <c r="S30" i="6"/>
  <c r="D29" i="6"/>
  <c r="R29" i="6"/>
  <c r="S29" i="6"/>
  <c r="D28" i="6"/>
  <c r="R28" i="6"/>
  <c r="S28" i="6"/>
  <c r="B28" i="6"/>
  <c r="B29" i="6"/>
  <c r="B30" i="6"/>
  <c r="B27" i="6"/>
  <c r="F27" i="6"/>
  <c r="D27" i="6"/>
  <c r="R27" i="6"/>
  <c r="S27" i="6"/>
  <c r="G20" i="6" l="1"/>
  <c r="F20" i="6"/>
  <c r="D20" i="6"/>
  <c r="B20" i="6"/>
  <c r="G19" i="6"/>
  <c r="F19" i="6"/>
  <c r="D19" i="6"/>
  <c r="B19" i="6"/>
  <c r="F81" i="6" l="1"/>
  <c r="D81" i="6"/>
  <c r="B81" i="6"/>
  <c r="F58" i="6"/>
  <c r="D58" i="6"/>
  <c r="B58" i="6"/>
  <c r="B52" i="6"/>
  <c r="D52" i="6"/>
  <c r="F52" i="6"/>
  <c r="B51" i="6"/>
  <c r="D51" i="6"/>
  <c r="F51" i="6"/>
  <c r="F55" i="6"/>
  <c r="D55" i="6"/>
  <c r="B55" i="6"/>
  <c r="F9" i="6"/>
  <c r="D9" i="6"/>
  <c r="B9" i="6"/>
  <c r="B10" i="6"/>
  <c r="D10" i="6"/>
  <c r="F10" i="6"/>
  <c r="G10" i="6"/>
  <c r="F8" i="6"/>
  <c r="D8" i="6"/>
  <c r="B8" i="6"/>
  <c r="C1" i="6" l="1"/>
  <c r="B3" i="6"/>
  <c r="D3" i="6"/>
  <c r="F3" i="6"/>
  <c r="R3" i="6"/>
  <c r="S3" i="6"/>
  <c r="B4" i="6"/>
  <c r="D4" i="6"/>
  <c r="F4" i="6"/>
  <c r="R4" i="6"/>
  <c r="S4" i="6"/>
  <c r="B5" i="6"/>
  <c r="D5" i="6"/>
  <c r="F5" i="6"/>
  <c r="R5" i="6"/>
  <c r="S5" i="6"/>
  <c r="AA5" i="6"/>
  <c r="AB5" i="6"/>
  <c r="B6" i="6"/>
  <c r="D6" i="6"/>
  <c r="F6" i="6"/>
  <c r="R6" i="6"/>
  <c r="S6" i="6"/>
  <c r="AA6" i="6"/>
  <c r="AB6" i="6"/>
  <c r="B7" i="6"/>
  <c r="D7" i="6"/>
  <c r="F7" i="6"/>
  <c r="R7" i="6"/>
  <c r="S7" i="6"/>
  <c r="AA7" i="6"/>
  <c r="AB7" i="6"/>
  <c r="AF7" i="6"/>
  <c r="AG7" i="6" s="1"/>
  <c r="T10" i="6"/>
  <c r="R10" i="6"/>
  <c r="S10" i="6"/>
  <c r="AA10" i="6"/>
  <c r="AB10" i="6"/>
  <c r="AF10" i="6"/>
  <c r="AG10" i="6" s="1"/>
  <c r="B11" i="6"/>
  <c r="D11" i="6"/>
  <c r="F11" i="6"/>
  <c r="G11" i="6"/>
  <c r="T11" i="6" s="1"/>
  <c r="R11" i="6"/>
  <c r="S11" i="6"/>
  <c r="AA11" i="6"/>
  <c r="AB11" i="6"/>
  <c r="AF11" i="6"/>
  <c r="AG11" i="6" s="1"/>
  <c r="B12" i="6"/>
  <c r="D12" i="6"/>
  <c r="F12" i="6"/>
  <c r="G12" i="6"/>
  <c r="T12" i="6" s="1"/>
  <c r="R12" i="6"/>
  <c r="S12" i="6"/>
  <c r="AA12" i="6"/>
  <c r="AB12" i="6"/>
  <c r="AF12" i="6"/>
  <c r="AG12" i="6" s="1"/>
  <c r="B13" i="6"/>
  <c r="D13" i="6"/>
  <c r="F13" i="6"/>
  <c r="G13" i="6"/>
  <c r="T13" i="6" s="1"/>
  <c r="R13" i="6"/>
  <c r="S13" i="6"/>
  <c r="AA13" i="6"/>
  <c r="AB13" i="6"/>
  <c r="AF13" i="6"/>
  <c r="AG13" i="6"/>
  <c r="B14" i="6"/>
  <c r="D14" i="6"/>
  <c r="F14" i="6"/>
  <c r="G14" i="6"/>
  <c r="T14" i="6" s="1"/>
  <c r="R14" i="6"/>
  <c r="S14" i="6"/>
  <c r="AA14" i="6"/>
  <c r="AB14" i="6"/>
  <c r="AF14" i="6"/>
  <c r="AG14" i="6"/>
  <c r="B15" i="6"/>
  <c r="D15" i="6"/>
  <c r="F15" i="6"/>
  <c r="G15" i="6"/>
  <c r="T15" i="6" s="1"/>
  <c r="R15" i="6"/>
  <c r="S15" i="6"/>
  <c r="AA15" i="6"/>
  <c r="AB15" i="6"/>
  <c r="AF15" i="6"/>
  <c r="AG15" i="6" s="1"/>
  <c r="B16" i="6"/>
  <c r="D16" i="6"/>
  <c r="F16" i="6"/>
  <c r="G16" i="6"/>
  <c r="T16" i="6" s="1"/>
  <c r="R16" i="6"/>
  <c r="S16" i="6"/>
  <c r="AA16" i="6"/>
  <c r="AB16" i="6"/>
  <c r="AF16" i="6"/>
  <c r="AG16" i="6" s="1"/>
  <c r="B17" i="6"/>
  <c r="D17" i="6"/>
  <c r="F17" i="6"/>
  <c r="G17" i="6"/>
  <c r="T17" i="6" s="1"/>
  <c r="R17" i="6"/>
  <c r="S17" i="6"/>
  <c r="AA17" i="6"/>
  <c r="AB17" i="6"/>
  <c r="AF17" i="6"/>
  <c r="AG17" i="6"/>
  <c r="B18" i="6"/>
  <c r="D18" i="6"/>
  <c r="F18" i="6"/>
  <c r="G18" i="6"/>
  <c r="T18" i="6" s="1"/>
  <c r="R18" i="6"/>
  <c r="S18" i="6"/>
  <c r="AA18" i="6"/>
  <c r="AB18" i="6"/>
  <c r="AF18" i="6"/>
  <c r="AG18" i="6"/>
  <c r="B21" i="6"/>
  <c r="D21" i="6"/>
  <c r="F21" i="6"/>
  <c r="G21" i="6"/>
  <c r="T21" i="6" s="1"/>
  <c r="R21" i="6"/>
  <c r="S21" i="6"/>
  <c r="AA21" i="6"/>
  <c r="AB21" i="6"/>
  <c r="AF21" i="6"/>
  <c r="AG21" i="6"/>
  <c r="B22" i="6"/>
  <c r="D22" i="6"/>
  <c r="F22" i="6"/>
  <c r="R22" i="6"/>
  <c r="S22" i="6"/>
  <c r="AA22" i="6"/>
  <c r="AB22" i="6"/>
  <c r="AF22" i="6"/>
  <c r="AG22" i="6" s="1"/>
  <c r="B23" i="6"/>
  <c r="D23" i="6"/>
  <c r="F23" i="6"/>
  <c r="R23" i="6"/>
  <c r="S23" i="6"/>
  <c r="AA23" i="6"/>
  <c r="AB23" i="6"/>
  <c r="AF23" i="6"/>
  <c r="AG23" i="6" s="1"/>
  <c r="B24" i="6"/>
  <c r="D24" i="6"/>
  <c r="F24" i="6"/>
  <c r="R24" i="6"/>
  <c r="S24" i="6"/>
  <c r="AA24" i="6"/>
  <c r="AB24" i="6"/>
  <c r="AF24" i="6"/>
  <c r="AG24" i="6" s="1"/>
  <c r="B25" i="6"/>
  <c r="D25" i="6"/>
  <c r="F25" i="6"/>
  <c r="R25" i="6"/>
  <c r="S25" i="6"/>
  <c r="AA25" i="6"/>
  <c r="AB25" i="6"/>
  <c r="AF25" i="6"/>
  <c r="AG25" i="6"/>
  <c r="B26" i="6"/>
  <c r="D26" i="6"/>
  <c r="F26" i="6"/>
  <c r="R26" i="6"/>
  <c r="S26" i="6"/>
  <c r="AA26" i="6"/>
  <c r="AB26" i="6"/>
  <c r="AF26" i="6"/>
  <c r="AG26" i="6" s="1"/>
  <c r="B31" i="6"/>
  <c r="D31" i="6"/>
  <c r="F31" i="6"/>
  <c r="R31" i="6"/>
  <c r="S31" i="6"/>
  <c r="AA31" i="6"/>
  <c r="AB31" i="6"/>
  <c r="AF31" i="6"/>
  <c r="AG31" i="6"/>
  <c r="B35" i="6"/>
  <c r="D35" i="6"/>
  <c r="F35" i="6"/>
  <c r="R35" i="6"/>
  <c r="S35" i="6"/>
  <c r="AA35" i="6"/>
  <c r="AB35" i="6"/>
  <c r="AF35" i="6"/>
  <c r="AG35" i="6"/>
  <c r="B36" i="6"/>
  <c r="D36" i="6"/>
  <c r="F36" i="6"/>
  <c r="R36" i="6"/>
  <c r="S36" i="6"/>
  <c r="AA36" i="6"/>
  <c r="AB36" i="6"/>
  <c r="AF36" i="6"/>
  <c r="AG36" i="6" s="1"/>
  <c r="B37" i="6"/>
  <c r="D37" i="6"/>
  <c r="F37" i="6"/>
  <c r="R37" i="6"/>
  <c r="S37" i="6"/>
  <c r="AA37" i="6"/>
  <c r="AB37" i="6"/>
  <c r="AF37" i="6"/>
  <c r="AG37" i="6" s="1"/>
  <c r="B38" i="6"/>
  <c r="D38" i="6"/>
  <c r="F38" i="6"/>
  <c r="R38" i="6"/>
  <c r="S38" i="6"/>
  <c r="AA38" i="6"/>
  <c r="AB38" i="6"/>
  <c r="AF38" i="6"/>
  <c r="AG38" i="6"/>
  <c r="B39" i="6"/>
  <c r="D39" i="6"/>
  <c r="F39" i="6"/>
  <c r="R39" i="6"/>
  <c r="S39" i="6"/>
  <c r="AA39" i="6"/>
  <c r="AB39" i="6"/>
  <c r="AF39" i="6"/>
  <c r="AG39" i="6"/>
  <c r="B40" i="6"/>
  <c r="D40" i="6"/>
  <c r="F40" i="6"/>
  <c r="R40" i="6"/>
  <c r="S40" i="6"/>
  <c r="AA40" i="6"/>
  <c r="AB40" i="6"/>
  <c r="AF40" i="6"/>
  <c r="AG40" i="6"/>
  <c r="B41" i="6"/>
  <c r="D41" i="6"/>
  <c r="F41" i="6"/>
  <c r="R41" i="6"/>
  <c r="S41" i="6"/>
  <c r="AA41" i="6"/>
  <c r="AB41" i="6"/>
  <c r="AF41" i="6"/>
  <c r="AG41" i="6"/>
  <c r="B42" i="6"/>
  <c r="D42" i="6"/>
  <c r="F42" i="6"/>
  <c r="R42" i="6"/>
  <c r="S42" i="6"/>
  <c r="AA42" i="6"/>
  <c r="AB42" i="6"/>
  <c r="AF42" i="6"/>
  <c r="AG42" i="6" s="1"/>
  <c r="B43" i="6"/>
  <c r="D43" i="6"/>
  <c r="F43" i="6"/>
  <c r="R43" i="6"/>
  <c r="S43" i="6"/>
  <c r="AA43" i="6"/>
  <c r="AB43" i="6"/>
  <c r="AF43" i="6"/>
  <c r="AG43" i="6" s="1"/>
  <c r="B44" i="6"/>
  <c r="D44" i="6"/>
  <c r="F44" i="6"/>
  <c r="R44" i="6"/>
  <c r="S44" i="6"/>
  <c r="AA44" i="6"/>
  <c r="AB44" i="6"/>
  <c r="AF44" i="6"/>
  <c r="AG44" i="6"/>
  <c r="B45" i="6"/>
  <c r="D45" i="6"/>
  <c r="F45" i="6"/>
  <c r="R45" i="6"/>
  <c r="S45" i="6"/>
  <c r="AA45" i="6"/>
  <c r="AB45" i="6"/>
  <c r="AF45" i="6"/>
  <c r="AG45" i="6" s="1"/>
  <c r="B46" i="6"/>
  <c r="D46" i="6"/>
  <c r="F46" i="6"/>
  <c r="R46" i="6"/>
  <c r="S46" i="6"/>
  <c r="AA46" i="6"/>
  <c r="AB46" i="6"/>
  <c r="AF46" i="6"/>
  <c r="AG46" i="6" s="1"/>
  <c r="B47" i="6"/>
  <c r="D47" i="6"/>
  <c r="F47" i="6"/>
  <c r="R47" i="6"/>
  <c r="S47" i="6"/>
  <c r="AA47" i="6"/>
  <c r="AB47" i="6"/>
  <c r="AF47" i="6"/>
  <c r="AG47" i="6"/>
  <c r="B48" i="6"/>
  <c r="D48" i="6"/>
  <c r="F48" i="6"/>
  <c r="R48" i="6"/>
  <c r="S48" i="6"/>
  <c r="AA48" i="6"/>
  <c r="AB48" i="6"/>
  <c r="AF48" i="6"/>
  <c r="AG48" i="6" s="1"/>
  <c r="B49" i="6"/>
  <c r="D49" i="6"/>
  <c r="F49" i="6"/>
  <c r="R49" i="6"/>
  <c r="S49" i="6"/>
  <c r="AA49" i="6"/>
  <c r="AB49" i="6"/>
  <c r="AF49" i="6"/>
  <c r="AG49" i="6" s="1"/>
  <c r="B50" i="6"/>
  <c r="D50" i="6"/>
  <c r="F50" i="6"/>
  <c r="R50" i="6"/>
  <c r="S50" i="6"/>
  <c r="AA50" i="6"/>
  <c r="AB50" i="6"/>
  <c r="AF50" i="6"/>
  <c r="AG50" i="6"/>
  <c r="B53" i="6"/>
  <c r="D53" i="6"/>
  <c r="F53" i="6"/>
  <c r="R53" i="6"/>
  <c r="S53" i="6"/>
  <c r="AA53" i="6"/>
  <c r="AB53" i="6"/>
  <c r="AF53" i="6"/>
  <c r="AG53" i="6"/>
  <c r="B54" i="6"/>
  <c r="D54" i="6"/>
  <c r="F54" i="6"/>
  <c r="R54" i="6"/>
  <c r="S54" i="6"/>
  <c r="AA54" i="6"/>
  <c r="AB54" i="6"/>
  <c r="AF54" i="6"/>
  <c r="AG54" i="6"/>
  <c r="G66" i="6" s="1"/>
  <c r="T66" i="6" s="1"/>
  <c r="B56" i="6"/>
  <c r="D56" i="6"/>
  <c r="F56" i="6"/>
  <c r="R56" i="6"/>
  <c r="S56" i="6"/>
  <c r="AA56" i="6"/>
  <c r="AB56" i="6"/>
  <c r="AF56" i="6"/>
  <c r="AG56" i="6"/>
  <c r="B57" i="6"/>
  <c r="D57" i="6"/>
  <c r="F57" i="6"/>
  <c r="R57" i="6"/>
  <c r="S57" i="6"/>
  <c r="AA57" i="6"/>
  <c r="AB57" i="6"/>
  <c r="AF57" i="6"/>
  <c r="AG57" i="6" s="1"/>
  <c r="B59" i="6"/>
  <c r="D59" i="6"/>
  <c r="F59" i="6"/>
  <c r="R59" i="6"/>
  <c r="S59" i="6"/>
  <c r="AA59" i="6"/>
  <c r="AB59" i="6"/>
  <c r="AF59" i="6"/>
  <c r="AG59" i="6" s="1"/>
  <c r="B60" i="6"/>
  <c r="D60" i="6"/>
  <c r="F60" i="6"/>
  <c r="R60" i="6"/>
  <c r="S60" i="6"/>
  <c r="AA60" i="6"/>
  <c r="AB60" i="6"/>
  <c r="AF60" i="6"/>
  <c r="AG60" i="6"/>
  <c r="B61" i="6"/>
  <c r="D61" i="6"/>
  <c r="F61" i="6"/>
  <c r="R61" i="6"/>
  <c r="S61" i="6"/>
  <c r="AA61" i="6"/>
  <c r="AB61" i="6"/>
  <c r="AF61" i="6"/>
  <c r="AG61" i="6" s="1"/>
  <c r="B62" i="6"/>
  <c r="D62" i="6"/>
  <c r="F62" i="6"/>
  <c r="R62" i="6"/>
  <c r="S62" i="6"/>
  <c r="AA62" i="6"/>
  <c r="AB62" i="6"/>
  <c r="AF62" i="6"/>
  <c r="AG62" i="6" s="1"/>
  <c r="B63" i="6"/>
  <c r="D63" i="6"/>
  <c r="F63" i="6"/>
  <c r="R63" i="6"/>
  <c r="S63" i="6"/>
  <c r="AA63" i="6"/>
  <c r="AB63" i="6"/>
  <c r="AF63" i="6"/>
  <c r="AG63" i="6"/>
  <c r="B64" i="6"/>
  <c r="D64" i="6"/>
  <c r="F64" i="6"/>
  <c r="R64" i="6"/>
  <c r="S64" i="6"/>
  <c r="AA64" i="6"/>
  <c r="AB64" i="6"/>
  <c r="AF64" i="6"/>
  <c r="AG64" i="6" s="1"/>
  <c r="B65" i="6"/>
  <c r="D65" i="6"/>
  <c r="F65" i="6"/>
  <c r="R65" i="6"/>
  <c r="S65" i="6"/>
  <c r="AA65" i="6"/>
  <c r="AB65" i="6"/>
  <c r="AF65" i="6"/>
  <c r="AG65" i="6" s="1"/>
  <c r="B66" i="6"/>
  <c r="D66" i="6"/>
  <c r="F66" i="6"/>
  <c r="R66" i="6"/>
  <c r="S66" i="6"/>
  <c r="AA66" i="6"/>
  <c r="AB66" i="6"/>
  <c r="AF66" i="6"/>
  <c r="AG66" i="6"/>
  <c r="B67" i="6"/>
  <c r="D67" i="6"/>
  <c r="F67" i="6"/>
  <c r="R67" i="6"/>
  <c r="S67" i="6"/>
  <c r="AA67" i="6"/>
  <c r="AB67" i="6"/>
  <c r="AF67" i="6"/>
  <c r="AG67" i="6"/>
  <c r="B68" i="6"/>
  <c r="D68" i="6"/>
  <c r="F68" i="6"/>
  <c r="R68" i="6"/>
  <c r="S68" i="6"/>
  <c r="AA68" i="6"/>
  <c r="AB68" i="6"/>
  <c r="AF68" i="6"/>
  <c r="AG68" i="6"/>
  <c r="B69" i="6"/>
  <c r="D69" i="6"/>
  <c r="F69" i="6"/>
  <c r="R69" i="6"/>
  <c r="S69" i="6"/>
  <c r="AA69" i="6"/>
  <c r="AB69" i="6"/>
  <c r="AF69" i="6"/>
  <c r="AG69" i="6"/>
  <c r="B70" i="6"/>
  <c r="D70" i="6"/>
  <c r="F70" i="6"/>
  <c r="R70" i="6"/>
  <c r="S70" i="6"/>
  <c r="AA70" i="6"/>
  <c r="AB70" i="6"/>
  <c r="AF70" i="6"/>
  <c r="AG70" i="6" s="1"/>
  <c r="B71" i="6"/>
  <c r="D71" i="6"/>
  <c r="F71" i="6"/>
  <c r="R71" i="6"/>
  <c r="S71" i="6"/>
  <c r="AA71" i="6"/>
  <c r="AB71" i="6"/>
  <c r="AF71" i="6"/>
  <c r="AG71" i="6" s="1"/>
  <c r="B72" i="6"/>
  <c r="D72" i="6"/>
  <c r="F72" i="6"/>
  <c r="R72" i="6"/>
  <c r="S72" i="6"/>
  <c r="AA72" i="6"/>
  <c r="AB72" i="6"/>
  <c r="AF72" i="6"/>
  <c r="AG72" i="6"/>
  <c r="B73" i="6"/>
  <c r="D73" i="6"/>
  <c r="F73" i="6"/>
  <c r="R73" i="6"/>
  <c r="S73" i="6"/>
  <c r="AA73" i="6"/>
  <c r="AB73" i="6"/>
  <c r="AF73" i="6"/>
  <c r="AG73" i="6" s="1"/>
  <c r="B74" i="6"/>
  <c r="D74" i="6"/>
  <c r="F74" i="6"/>
  <c r="R74" i="6"/>
  <c r="S74" i="6"/>
  <c r="AA74" i="6"/>
  <c r="AB74" i="6"/>
  <c r="AF74" i="6"/>
  <c r="AG74" i="6" s="1"/>
  <c r="B75" i="6"/>
  <c r="D75" i="6"/>
  <c r="F75" i="6"/>
  <c r="R75" i="6"/>
  <c r="S75" i="6"/>
  <c r="AA75" i="6"/>
  <c r="AB75" i="6"/>
  <c r="AF75" i="6"/>
  <c r="AG75" i="6"/>
  <c r="B76" i="6"/>
  <c r="D76" i="6"/>
  <c r="F76" i="6"/>
  <c r="R76" i="6"/>
  <c r="S76" i="6"/>
  <c r="AA76" i="6"/>
  <c r="AB76" i="6"/>
  <c r="AF76" i="6"/>
  <c r="AG76" i="6" s="1"/>
  <c r="B77" i="6"/>
  <c r="D77" i="6"/>
  <c r="F77" i="6"/>
  <c r="R77" i="6"/>
  <c r="S77" i="6"/>
  <c r="AA77" i="6"/>
  <c r="AB77" i="6"/>
  <c r="AF77" i="6"/>
  <c r="AG77" i="6" s="1"/>
  <c r="B78" i="6"/>
  <c r="D78" i="6"/>
  <c r="F78" i="6"/>
  <c r="R78" i="6"/>
  <c r="S78" i="6"/>
  <c r="AA78" i="6"/>
  <c r="AB78" i="6"/>
  <c r="AF78" i="6"/>
  <c r="AG78" i="6"/>
  <c r="B79" i="6"/>
  <c r="D79" i="6"/>
  <c r="F79" i="6"/>
  <c r="R79" i="6"/>
  <c r="S79" i="6"/>
  <c r="AA79" i="6"/>
  <c r="AB79" i="6"/>
  <c r="AF79" i="6"/>
  <c r="AG79" i="6"/>
  <c r="B80" i="6"/>
  <c r="D80" i="6"/>
  <c r="F80" i="6"/>
  <c r="R80" i="6"/>
  <c r="S80" i="6"/>
  <c r="AA80" i="6"/>
  <c r="AB80" i="6"/>
  <c r="AF80" i="6"/>
  <c r="AG80" i="6"/>
  <c r="R81" i="6"/>
  <c r="S81" i="6"/>
  <c r="AA81" i="6"/>
  <c r="AB81" i="6"/>
  <c r="AF81" i="6"/>
  <c r="AG81" i="6"/>
  <c r="B82" i="6"/>
  <c r="D82" i="6"/>
  <c r="F82" i="6"/>
  <c r="G82" i="6"/>
  <c r="T82" i="6" s="1"/>
  <c r="R82" i="6"/>
  <c r="S82" i="6"/>
  <c r="AA82" i="6"/>
  <c r="AB82" i="6"/>
  <c r="AF82" i="6"/>
  <c r="AG82" i="6" s="1"/>
  <c r="B83" i="6"/>
  <c r="D83" i="6"/>
  <c r="F83" i="6"/>
  <c r="G83" i="6"/>
  <c r="T83" i="6" s="1"/>
  <c r="R83" i="6"/>
  <c r="S83" i="6"/>
  <c r="AA83" i="6"/>
  <c r="AB83" i="6"/>
  <c r="AF83" i="6"/>
  <c r="AG83" i="6" s="1"/>
  <c r="B84" i="6"/>
  <c r="D84" i="6"/>
  <c r="F84" i="6"/>
  <c r="G84" i="6"/>
  <c r="T84" i="6" s="1"/>
  <c r="R84" i="6"/>
  <c r="S84" i="6"/>
  <c r="AA84" i="6"/>
  <c r="AB84" i="6"/>
  <c r="AF84" i="6"/>
  <c r="AG84" i="6"/>
  <c r="B85" i="6"/>
  <c r="D85" i="6"/>
  <c r="F85" i="6"/>
  <c r="G85" i="6"/>
  <c r="T85" i="6" s="1"/>
  <c r="R85" i="6"/>
  <c r="S85" i="6"/>
  <c r="AA85" i="6"/>
  <c r="AB85" i="6"/>
  <c r="AF85" i="6"/>
  <c r="AG85" i="6" s="1"/>
  <c r="B86" i="6"/>
  <c r="D86" i="6"/>
  <c r="F86" i="6"/>
  <c r="G86" i="6"/>
  <c r="T86" i="6" s="1"/>
  <c r="R86" i="6"/>
  <c r="S86" i="6"/>
  <c r="AA86" i="6"/>
  <c r="AB86" i="6"/>
  <c r="AF86" i="6"/>
  <c r="AG86" i="6" s="1"/>
  <c r="B87" i="6"/>
  <c r="D87" i="6"/>
  <c r="F87" i="6"/>
  <c r="G87" i="6"/>
  <c r="T87" i="6" s="1"/>
  <c r="R87" i="6"/>
  <c r="S87" i="6"/>
  <c r="AA87" i="6"/>
  <c r="AB87" i="6"/>
  <c r="AF87" i="6"/>
  <c r="AG87" i="6"/>
  <c r="B88" i="6"/>
  <c r="D88" i="6"/>
  <c r="F88" i="6"/>
  <c r="G88" i="6"/>
  <c r="T88" i="6" s="1"/>
  <c r="R88" i="6"/>
  <c r="S88" i="6"/>
  <c r="AA88" i="6"/>
  <c r="AB88" i="6"/>
  <c r="AF88" i="6"/>
  <c r="AG88" i="6" s="1"/>
  <c r="B89" i="6"/>
  <c r="D89" i="6"/>
  <c r="F89" i="6"/>
  <c r="G89" i="6"/>
  <c r="T89" i="6" s="1"/>
  <c r="R89" i="6"/>
  <c r="S89" i="6"/>
  <c r="AA89" i="6"/>
  <c r="AB89" i="6"/>
  <c r="AF89" i="6"/>
  <c r="AG89" i="6" s="1"/>
  <c r="B90" i="6"/>
  <c r="D90" i="6"/>
  <c r="F90" i="6"/>
  <c r="G90" i="6"/>
  <c r="T90" i="6" s="1"/>
  <c r="R90" i="6"/>
  <c r="S90" i="6"/>
  <c r="AA90" i="6"/>
  <c r="AB90" i="6"/>
  <c r="AF90" i="6"/>
  <c r="AG90" i="6"/>
  <c r="B91" i="6"/>
  <c r="D91" i="6"/>
  <c r="F91" i="6"/>
  <c r="G91" i="6"/>
  <c r="T91" i="6" s="1"/>
  <c r="R91" i="6"/>
  <c r="S91" i="6"/>
  <c r="AA91" i="6"/>
  <c r="AB91" i="6"/>
  <c r="AF91" i="6"/>
  <c r="AG91" i="6" s="1"/>
  <c r="B92" i="6"/>
  <c r="D92" i="6"/>
  <c r="F92" i="6"/>
  <c r="G92" i="6"/>
  <c r="T92" i="6" s="1"/>
  <c r="R92" i="6"/>
  <c r="S92" i="6"/>
  <c r="AA92" i="6"/>
  <c r="AB92" i="6"/>
  <c r="AF92" i="6"/>
  <c r="AG92" i="6"/>
  <c r="B93" i="6"/>
  <c r="D93" i="6"/>
  <c r="F93" i="6"/>
  <c r="G93" i="6"/>
  <c r="T93" i="6" s="1"/>
  <c r="R93" i="6"/>
  <c r="S93" i="6"/>
  <c r="AA93" i="6"/>
  <c r="AB93" i="6"/>
  <c r="AF93" i="6"/>
  <c r="AG93" i="6"/>
  <c r="B94" i="6"/>
  <c r="D94" i="6"/>
  <c r="F94" i="6"/>
  <c r="G94" i="6"/>
  <c r="T94" i="6" s="1"/>
  <c r="R94" i="6"/>
  <c r="S94" i="6"/>
  <c r="AA94" i="6"/>
  <c r="AB94" i="6"/>
  <c r="AF94" i="6"/>
  <c r="AG94" i="6" s="1"/>
  <c r="B95" i="6"/>
  <c r="D95" i="6"/>
  <c r="F95" i="6"/>
  <c r="G95" i="6"/>
  <c r="T95" i="6" s="1"/>
  <c r="R95" i="6"/>
  <c r="S95" i="6"/>
  <c r="AA95" i="6"/>
  <c r="AB95" i="6"/>
  <c r="AF95" i="6"/>
  <c r="AG95" i="6" s="1"/>
  <c r="B96" i="6"/>
  <c r="D96" i="6"/>
  <c r="F96" i="6"/>
  <c r="G96" i="6"/>
  <c r="T96" i="6" s="1"/>
  <c r="R96" i="6"/>
  <c r="S96" i="6"/>
  <c r="AA96" i="6"/>
  <c r="AB96" i="6"/>
  <c r="AF96" i="6"/>
  <c r="AG96" i="6"/>
  <c r="B97" i="6"/>
  <c r="D97" i="6"/>
  <c r="F97" i="6"/>
  <c r="G97" i="6"/>
  <c r="T97" i="6" s="1"/>
  <c r="R97" i="6"/>
  <c r="S97" i="6"/>
  <c r="AA97" i="6"/>
  <c r="AB97" i="6"/>
  <c r="AF97" i="6"/>
  <c r="AG97" i="6" s="1"/>
  <c r="B98" i="6"/>
  <c r="D98" i="6"/>
  <c r="F98" i="6"/>
  <c r="G98" i="6"/>
  <c r="T98" i="6" s="1"/>
  <c r="R98" i="6"/>
  <c r="S98" i="6"/>
  <c r="AA98" i="6"/>
  <c r="AB98" i="6"/>
  <c r="AF98" i="6"/>
  <c r="AG98" i="6" s="1"/>
  <c r="B99" i="6"/>
  <c r="D99" i="6"/>
  <c r="F99" i="6"/>
  <c r="G99" i="6"/>
  <c r="T99" i="6" s="1"/>
  <c r="R99" i="6"/>
  <c r="S99" i="6"/>
  <c r="AA99" i="6"/>
  <c r="AB99" i="6"/>
  <c r="AF99" i="6"/>
  <c r="AG99" i="6"/>
  <c r="B100" i="6"/>
  <c r="D100" i="6"/>
  <c r="F100" i="6"/>
  <c r="G100" i="6"/>
  <c r="T100" i="6" s="1"/>
  <c r="R100" i="6"/>
  <c r="S100" i="6"/>
  <c r="AA100" i="6"/>
  <c r="AB100" i="6"/>
  <c r="AF100" i="6"/>
  <c r="AG100" i="6" s="1"/>
  <c r="B101" i="6"/>
  <c r="D101" i="6"/>
  <c r="F101" i="6"/>
  <c r="G101" i="6"/>
  <c r="T101" i="6" s="1"/>
  <c r="R101" i="6"/>
  <c r="S101" i="6"/>
  <c r="AA101" i="6"/>
  <c r="AB101" i="6"/>
  <c r="AF101" i="6"/>
  <c r="AG101" i="6" s="1"/>
  <c r="B102" i="6"/>
  <c r="D102" i="6"/>
  <c r="F102" i="6"/>
  <c r="G102" i="6"/>
  <c r="T102" i="6" s="1"/>
  <c r="R102" i="6"/>
  <c r="S102" i="6"/>
  <c r="AA102" i="6"/>
  <c r="AB102" i="6"/>
  <c r="AF102" i="6"/>
  <c r="AG102" i="6"/>
  <c r="B103" i="6"/>
  <c r="D103" i="6"/>
  <c r="F103" i="6"/>
  <c r="G103" i="6"/>
  <c r="T103" i="6" s="1"/>
  <c r="R103" i="6"/>
  <c r="S103" i="6"/>
  <c r="AA103" i="6"/>
  <c r="AB103" i="6"/>
  <c r="AF103" i="6"/>
  <c r="AG103" i="6" s="1"/>
  <c r="B104" i="6"/>
  <c r="D104" i="6"/>
  <c r="F104" i="6"/>
  <c r="G104" i="6"/>
  <c r="T104" i="6" s="1"/>
  <c r="R104" i="6"/>
  <c r="S104" i="6"/>
  <c r="AA104" i="6"/>
  <c r="AB104" i="6"/>
  <c r="AF104" i="6"/>
  <c r="AG104" i="6"/>
  <c r="B105" i="6"/>
  <c r="D105" i="6"/>
  <c r="F105" i="6"/>
  <c r="G105" i="6"/>
  <c r="T105" i="6" s="1"/>
  <c r="R105" i="6"/>
  <c r="S105" i="6"/>
  <c r="AA105" i="6"/>
  <c r="AB105" i="6"/>
  <c r="AF105" i="6"/>
  <c r="AG105" i="6"/>
  <c r="B106" i="6"/>
  <c r="D106" i="6"/>
  <c r="F106" i="6"/>
  <c r="G106" i="6"/>
  <c r="T106" i="6" s="1"/>
  <c r="R106" i="6"/>
  <c r="S106" i="6"/>
  <c r="AA106" i="6"/>
  <c r="AB106" i="6"/>
  <c r="AF106" i="6"/>
  <c r="AG106" i="6" s="1"/>
  <c r="G9" i="6" s="1"/>
  <c r="B107" i="6"/>
  <c r="D107" i="6"/>
  <c r="F107" i="6"/>
  <c r="G107" i="6"/>
  <c r="T107" i="6" s="1"/>
  <c r="R107" i="6"/>
  <c r="S107" i="6"/>
  <c r="AA107" i="6"/>
  <c r="AB107" i="6"/>
  <c r="AF107" i="6"/>
  <c r="AG107" i="6"/>
  <c r="B108" i="6"/>
  <c r="D108" i="6"/>
  <c r="F108" i="6"/>
  <c r="G108" i="6"/>
  <c r="T108" i="6" s="1"/>
  <c r="R108" i="6"/>
  <c r="S108" i="6"/>
  <c r="AA108" i="6"/>
  <c r="AB108" i="6"/>
  <c r="AF108" i="6"/>
  <c r="AG108" i="6"/>
  <c r="B109" i="6"/>
  <c r="D109" i="6"/>
  <c r="F109" i="6"/>
  <c r="G109" i="6"/>
  <c r="T109" i="6" s="1"/>
  <c r="R109" i="6"/>
  <c r="S109" i="6"/>
  <c r="AA109" i="6"/>
  <c r="AB109" i="6"/>
  <c r="AF109" i="6"/>
  <c r="AG109" i="6" s="1"/>
  <c r="B110" i="6"/>
  <c r="D110" i="6"/>
  <c r="F110" i="6"/>
  <c r="G110" i="6"/>
  <c r="T110" i="6" s="1"/>
  <c r="R110" i="6"/>
  <c r="S110" i="6"/>
  <c r="AA110" i="6"/>
  <c r="AB110" i="6"/>
  <c r="AF110" i="6"/>
  <c r="AG110" i="6" s="1"/>
  <c r="B111" i="6"/>
  <c r="D111" i="6"/>
  <c r="F111" i="6"/>
  <c r="G111" i="6"/>
  <c r="T111" i="6" s="1"/>
  <c r="R111" i="6"/>
  <c r="S111" i="6"/>
  <c r="AA111" i="6"/>
  <c r="AB111" i="6"/>
  <c r="AF111" i="6"/>
  <c r="AG111" i="6"/>
  <c r="B112" i="6"/>
  <c r="D112" i="6"/>
  <c r="F112" i="6"/>
  <c r="G112" i="6"/>
  <c r="T112" i="6" s="1"/>
  <c r="R112" i="6"/>
  <c r="S112" i="6"/>
  <c r="AA112" i="6"/>
  <c r="AB112" i="6"/>
  <c r="AF112" i="6"/>
  <c r="AG112" i="6" s="1"/>
  <c r="B113" i="6"/>
  <c r="D113" i="6"/>
  <c r="F113" i="6"/>
  <c r="G113" i="6"/>
  <c r="T113" i="6" s="1"/>
  <c r="R113" i="6"/>
  <c r="S113" i="6"/>
  <c r="AA113" i="6"/>
  <c r="AB113" i="6"/>
  <c r="AF113" i="6"/>
  <c r="AG113" i="6" s="1"/>
  <c r="B114" i="6"/>
  <c r="D114" i="6"/>
  <c r="F114" i="6"/>
  <c r="G114" i="6"/>
  <c r="T114" i="6" s="1"/>
  <c r="R114" i="6"/>
  <c r="S114" i="6"/>
  <c r="AA114" i="6"/>
  <c r="AB114" i="6"/>
  <c r="AF114" i="6"/>
  <c r="AG114" i="6"/>
  <c r="B115" i="6"/>
  <c r="D115" i="6"/>
  <c r="F115" i="6"/>
  <c r="G115" i="6"/>
  <c r="T115" i="6" s="1"/>
  <c r="R115" i="6"/>
  <c r="S115" i="6"/>
  <c r="AA115" i="6"/>
  <c r="AB115" i="6"/>
  <c r="AF115" i="6"/>
  <c r="AG115" i="6" s="1"/>
  <c r="B116" i="6"/>
  <c r="D116" i="6"/>
  <c r="F116" i="6"/>
  <c r="G116" i="6"/>
  <c r="T116" i="6" s="1"/>
  <c r="R116" i="6"/>
  <c r="S116" i="6"/>
  <c r="AA116" i="6"/>
  <c r="AB116" i="6"/>
  <c r="AF116" i="6"/>
  <c r="AG116" i="6"/>
  <c r="B117" i="6"/>
  <c r="D117" i="6"/>
  <c r="F117" i="6"/>
  <c r="G117" i="6"/>
  <c r="T117" i="6" s="1"/>
  <c r="R117" i="6"/>
  <c r="S117" i="6"/>
  <c r="AA117" i="6"/>
  <c r="AB117" i="6"/>
  <c r="AF117" i="6"/>
  <c r="AG117" i="6"/>
  <c r="B118" i="6"/>
  <c r="D118" i="6"/>
  <c r="F118" i="6"/>
  <c r="G118" i="6"/>
  <c r="T118" i="6" s="1"/>
  <c r="R118" i="6"/>
  <c r="S118" i="6"/>
  <c r="AA118" i="6"/>
  <c r="AB118" i="6"/>
  <c r="AF118" i="6"/>
  <c r="AG118" i="6" s="1"/>
  <c r="B119" i="6"/>
  <c r="D119" i="6"/>
  <c r="F119" i="6"/>
  <c r="G119" i="6"/>
  <c r="T119" i="6" s="1"/>
  <c r="R119" i="6"/>
  <c r="S119" i="6"/>
  <c r="AA119" i="6"/>
  <c r="AB119" i="6"/>
  <c r="AF119" i="6"/>
  <c r="AG119" i="6"/>
  <c r="B120" i="6"/>
  <c r="D120" i="6"/>
  <c r="F120" i="6"/>
  <c r="G120" i="6"/>
  <c r="T120" i="6" s="1"/>
  <c r="R120" i="6"/>
  <c r="S120" i="6"/>
  <c r="AA120" i="6"/>
  <c r="AB120" i="6"/>
  <c r="AF120" i="6"/>
  <c r="AG120" i="6"/>
  <c r="B121" i="6"/>
  <c r="D121" i="6"/>
  <c r="F121" i="6"/>
  <c r="G121" i="6"/>
  <c r="T121" i="6" s="1"/>
  <c r="R121" i="6"/>
  <c r="S121" i="6"/>
  <c r="AA121" i="6"/>
  <c r="AB121" i="6"/>
  <c r="AF121" i="6"/>
  <c r="AG121" i="6" s="1"/>
  <c r="B122" i="6"/>
  <c r="D122" i="6"/>
  <c r="F122" i="6"/>
  <c r="G122" i="6"/>
  <c r="T122" i="6" s="1"/>
  <c r="R122" i="6"/>
  <c r="S122" i="6"/>
  <c r="AA122" i="6"/>
  <c r="AB122" i="6"/>
  <c r="AF122" i="6"/>
  <c r="AG122" i="6" s="1"/>
  <c r="B123" i="6"/>
  <c r="D123" i="6"/>
  <c r="F123" i="6"/>
  <c r="G123" i="6"/>
  <c r="T123" i="6" s="1"/>
  <c r="R123" i="6"/>
  <c r="S123" i="6"/>
  <c r="AA123" i="6"/>
  <c r="AB123" i="6"/>
  <c r="AF123" i="6"/>
  <c r="AG123" i="6"/>
  <c r="B124" i="6"/>
  <c r="D124" i="6"/>
  <c r="F124" i="6"/>
  <c r="G124" i="6"/>
  <c r="T124" i="6" s="1"/>
  <c r="R124" i="6"/>
  <c r="S124" i="6"/>
  <c r="AA124" i="6"/>
  <c r="AB124" i="6"/>
  <c r="AF124" i="6"/>
  <c r="AG124" i="6" s="1"/>
  <c r="B125" i="6"/>
  <c r="D125" i="6"/>
  <c r="F125" i="6"/>
  <c r="G125" i="6"/>
  <c r="T125" i="6" s="1"/>
  <c r="R125" i="6"/>
  <c r="S125" i="6"/>
  <c r="AA125" i="6"/>
  <c r="AB125" i="6"/>
  <c r="AF125" i="6"/>
  <c r="AG125" i="6" s="1"/>
  <c r="B126" i="6"/>
  <c r="D126" i="6"/>
  <c r="F126" i="6"/>
  <c r="G126" i="6"/>
  <c r="T126" i="6" s="1"/>
  <c r="R126" i="6"/>
  <c r="S126" i="6"/>
  <c r="AA126" i="6"/>
  <c r="AB126" i="6"/>
  <c r="AF126" i="6"/>
  <c r="AG126" i="6"/>
  <c r="B127" i="6"/>
  <c r="D127" i="6"/>
  <c r="F127" i="6"/>
  <c r="G127" i="6"/>
  <c r="T127" i="6" s="1"/>
  <c r="R127" i="6"/>
  <c r="S127" i="6"/>
  <c r="AA127" i="6"/>
  <c r="AB127" i="6"/>
  <c r="AF127" i="6"/>
  <c r="AG127" i="6" s="1"/>
  <c r="B128" i="6"/>
  <c r="D128" i="6"/>
  <c r="F128" i="6"/>
  <c r="G128" i="6"/>
  <c r="T128" i="6" s="1"/>
  <c r="R128" i="6"/>
  <c r="S128" i="6"/>
  <c r="AA128" i="6"/>
  <c r="AB128" i="6"/>
  <c r="AF128" i="6"/>
  <c r="AG128" i="6"/>
  <c r="B129" i="6"/>
  <c r="D129" i="6"/>
  <c r="F129" i="6"/>
  <c r="G129" i="6"/>
  <c r="T129" i="6" s="1"/>
  <c r="R129" i="6"/>
  <c r="S129" i="6"/>
  <c r="AA129" i="6"/>
  <c r="AB129" i="6"/>
  <c r="AF129" i="6"/>
  <c r="AG129" i="6"/>
  <c r="B130" i="6"/>
  <c r="D130" i="6"/>
  <c r="F130" i="6"/>
  <c r="G130" i="6"/>
  <c r="T130" i="6" s="1"/>
  <c r="R130" i="6"/>
  <c r="S130" i="6"/>
  <c r="AA130" i="6"/>
  <c r="AB130" i="6"/>
  <c r="AF130" i="6"/>
  <c r="AG130" i="6" s="1"/>
  <c r="B131" i="6"/>
  <c r="D131" i="6"/>
  <c r="F131" i="6"/>
  <c r="G131" i="6"/>
  <c r="T131" i="6" s="1"/>
  <c r="R131" i="6"/>
  <c r="S131" i="6"/>
  <c r="AA131" i="6"/>
  <c r="AB131" i="6"/>
  <c r="AF131" i="6"/>
  <c r="AG131" i="6"/>
  <c r="B132" i="6"/>
  <c r="D132" i="6"/>
  <c r="F132" i="6"/>
  <c r="G132" i="6"/>
  <c r="T132" i="6" s="1"/>
  <c r="R132" i="6"/>
  <c r="S132" i="6"/>
  <c r="AA132" i="6"/>
  <c r="AB132" i="6"/>
  <c r="AF132" i="6"/>
  <c r="AG132" i="6"/>
  <c r="B133" i="6"/>
  <c r="D133" i="6"/>
  <c r="F133" i="6"/>
  <c r="G133" i="6"/>
  <c r="T133" i="6" s="1"/>
  <c r="R133" i="6"/>
  <c r="S133" i="6"/>
  <c r="AA133" i="6"/>
  <c r="AB133" i="6"/>
  <c r="AF133" i="6"/>
  <c r="AG133" i="6" s="1"/>
  <c r="B134" i="6"/>
  <c r="D134" i="6"/>
  <c r="F134" i="6"/>
  <c r="G134" i="6"/>
  <c r="T134" i="6" s="1"/>
  <c r="R134" i="6"/>
  <c r="S134" i="6"/>
  <c r="AA134" i="6"/>
  <c r="AB134" i="6"/>
  <c r="AF134" i="6"/>
  <c r="AG134" i="6" s="1"/>
  <c r="B135" i="6"/>
  <c r="D135" i="6"/>
  <c r="F135" i="6"/>
  <c r="G135" i="6"/>
  <c r="T135" i="6" s="1"/>
  <c r="R135" i="6"/>
  <c r="S135" i="6"/>
  <c r="AA135" i="6"/>
  <c r="AB135" i="6"/>
  <c r="AF135" i="6"/>
  <c r="AG135" i="6"/>
  <c r="B136" i="6"/>
  <c r="D136" i="6"/>
  <c r="F136" i="6"/>
  <c r="G136" i="6"/>
  <c r="T136" i="6" s="1"/>
  <c r="R136" i="6"/>
  <c r="S136" i="6"/>
  <c r="AA136" i="6"/>
  <c r="AB136" i="6"/>
  <c r="AF136" i="6"/>
  <c r="AG136" i="6" s="1"/>
  <c r="B137" i="6"/>
  <c r="D137" i="6"/>
  <c r="F137" i="6"/>
  <c r="G137" i="6"/>
  <c r="T137" i="6" s="1"/>
  <c r="R137" i="6"/>
  <c r="S137" i="6"/>
  <c r="AA137" i="6"/>
  <c r="AB137" i="6"/>
  <c r="AF137" i="6"/>
  <c r="AG137" i="6" s="1"/>
  <c r="B138" i="6"/>
  <c r="D138" i="6"/>
  <c r="F138" i="6"/>
  <c r="G138" i="6"/>
  <c r="T138" i="6" s="1"/>
  <c r="R138" i="6"/>
  <c r="S138" i="6"/>
  <c r="AA138" i="6"/>
  <c r="AB138" i="6"/>
  <c r="AF138" i="6"/>
  <c r="AG138" i="6"/>
  <c r="B139" i="6"/>
  <c r="D139" i="6"/>
  <c r="F139" i="6"/>
  <c r="G139" i="6"/>
  <c r="T139" i="6" s="1"/>
  <c r="R139" i="6"/>
  <c r="S139" i="6"/>
  <c r="AA139" i="6"/>
  <c r="AB139" i="6"/>
  <c r="AF139" i="6"/>
  <c r="AG139" i="6" s="1"/>
  <c r="B140" i="6"/>
  <c r="D140" i="6"/>
  <c r="F140" i="6"/>
  <c r="G140" i="6"/>
  <c r="T140" i="6" s="1"/>
  <c r="R140" i="6"/>
  <c r="S140" i="6"/>
  <c r="AA140" i="6"/>
  <c r="AB140" i="6"/>
  <c r="AF140" i="6"/>
  <c r="AG140" i="6"/>
  <c r="B141" i="6"/>
  <c r="D141" i="6"/>
  <c r="F141" i="6"/>
  <c r="G141" i="6"/>
  <c r="T141" i="6" s="1"/>
  <c r="R141" i="6"/>
  <c r="S141" i="6"/>
  <c r="AA141" i="6"/>
  <c r="AB141" i="6"/>
  <c r="AF141" i="6"/>
  <c r="AG141" i="6"/>
  <c r="B142" i="6"/>
  <c r="D142" i="6"/>
  <c r="F142" i="6"/>
  <c r="G142" i="6"/>
  <c r="T142" i="6" s="1"/>
  <c r="R142" i="6"/>
  <c r="S142" i="6"/>
  <c r="AA142" i="6"/>
  <c r="AB142" i="6"/>
  <c r="AF142" i="6"/>
  <c r="AG142" i="6" s="1"/>
  <c r="B143" i="6"/>
  <c r="D143" i="6"/>
  <c r="F143" i="6"/>
  <c r="G143" i="6"/>
  <c r="T143" i="6" s="1"/>
  <c r="R143" i="6"/>
  <c r="S143" i="6"/>
  <c r="AA143" i="6"/>
  <c r="AB143" i="6"/>
  <c r="AF143" i="6"/>
  <c r="AG143" i="6" s="1"/>
  <c r="B144" i="6"/>
  <c r="D144" i="6"/>
  <c r="F144" i="6"/>
  <c r="G144" i="6"/>
  <c r="T144" i="6" s="1"/>
  <c r="R144" i="6"/>
  <c r="S144" i="6"/>
  <c r="AA144" i="6"/>
  <c r="AB144" i="6"/>
  <c r="AF144" i="6"/>
  <c r="AG144" i="6"/>
  <c r="B145" i="6"/>
  <c r="D145" i="6"/>
  <c r="F145" i="6"/>
  <c r="G145" i="6"/>
  <c r="T145" i="6" s="1"/>
  <c r="R145" i="6"/>
  <c r="S145" i="6"/>
  <c r="AF145" i="6"/>
  <c r="AG145" i="6"/>
  <c r="B146" i="6"/>
  <c r="D146" i="6"/>
  <c r="F146" i="6"/>
  <c r="G146" i="6"/>
  <c r="T146" i="6" s="1"/>
  <c r="R146" i="6"/>
  <c r="S146" i="6"/>
  <c r="AF146" i="6"/>
  <c r="AG146" i="6"/>
  <c r="B147" i="6"/>
  <c r="D147" i="6"/>
  <c r="F147" i="6"/>
  <c r="G147" i="6"/>
  <c r="T147" i="6" s="1"/>
  <c r="R147" i="6"/>
  <c r="S147" i="6"/>
  <c r="AF147" i="6"/>
  <c r="AG147" i="6"/>
  <c r="B148" i="6"/>
  <c r="D148" i="6"/>
  <c r="F148" i="6"/>
  <c r="G148" i="6"/>
  <c r="T148" i="6" s="1"/>
  <c r="R148" i="6"/>
  <c r="S148" i="6"/>
  <c r="AF148" i="6"/>
  <c r="AG148" i="6"/>
  <c r="B149" i="6"/>
  <c r="D149" i="6"/>
  <c r="F149" i="6"/>
  <c r="G149" i="6"/>
  <c r="T149" i="6" s="1"/>
  <c r="R149" i="6"/>
  <c r="S149" i="6"/>
  <c r="AF149" i="6"/>
  <c r="AG149" i="6"/>
  <c r="B150" i="6"/>
  <c r="D150" i="6"/>
  <c r="F150" i="6"/>
  <c r="G150" i="6"/>
  <c r="T150" i="6" s="1"/>
  <c r="R150" i="6"/>
  <c r="S150" i="6"/>
  <c r="AF150" i="6"/>
  <c r="AG150" i="6"/>
  <c r="B151" i="6"/>
  <c r="D151" i="6"/>
  <c r="F151" i="6"/>
  <c r="G151" i="6"/>
  <c r="T151" i="6" s="1"/>
  <c r="R151" i="6"/>
  <c r="S151" i="6"/>
  <c r="AF151" i="6"/>
  <c r="AG151" i="6"/>
  <c r="B152" i="6"/>
  <c r="D152" i="6"/>
  <c r="F152" i="6"/>
  <c r="G152" i="6"/>
  <c r="T152" i="6" s="1"/>
  <c r="R152" i="6"/>
  <c r="S152" i="6"/>
  <c r="AF152" i="6"/>
  <c r="AG152" i="6"/>
  <c r="B153" i="6"/>
  <c r="D153" i="6"/>
  <c r="F153" i="6"/>
  <c r="G153" i="6"/>
  <c r="T153" i="6" s="1"/>
  <c r="R153" i="6"/>
  <c r="S153" i="6"/>
  <c r="AF153" i="6"/>
  <c r="AG153" i="6"/>
  <c r="B154" i="6"/>
  <c r="D154" i="6"/>
  <c r="F154" i="6"/>
  <c r="G154" i="6"/>
  <c r="T154" i="6" s="1"/>
  <c r="R154" i="6"/>
  <c r="S154" i="6"/>
  <c r="AF154" i="6"/>
  <c r="AG154" i="6"/>
  <c r="B155" i="6"/>
  <c r="D155" i="6"/>
  <c r="F155" i="6"/>
  <c r="G155" i="6"/>
  <c r="T155" i="6" s="1"/>
  <c r="R155" i="6"/>
  <c r="S155" i="6"/>
  <c r="AF155" i="6"/>
  <c r="AG155" i="6"/>
  <c r="B156" i="6"/>
  <c r="D156" i="6"/>
  <c r="F156" i="6"/>
  <c r="G156" i="6"/>
  <c r="T156" i="6" s="1"/>
  <c r="R156" i="6"/>
  <c r="S156" i="6"/>
  <c r="AF156" i="6"/>
  <c r="AG156" i="6"/>
  <c r="B157" i="6"/>
  <c r="D157" i="6"/>
  <c r="F157" i="6"/>
  <c r="G157" i="6"/>
  <c r="T157" i="6" s="1"/>
  <c r="R157" i="6"/>
  <c r="S157" i="6"/>
  <c r="AF157" i="6"/>
  <c r="AG157" i="6"/>
  <c r="B158" i="6"/>
  <c r="D158" i="6"/>
  <c r="F158" i="6"/>
  <c r="G158" i="6"/>
  <c r="T158" i="6" s="1"/>
  <c r="R158" i="6"/>
  <c r="S158" i="6"/>
  <c r="AF158" i="6"/>
  <c r="AG158" i="6"/>
  <c r="B159" i="6"/>
  <c r="D159" i="6"/>
  <c r="F159" i="6"/>
  <c r="G159" i="6"/>
  <c r="T159" i="6" s="1"/>
  <c r="R159" i="6"/>
  <c r="S159" i="6"/>
  <c r="AF159" i="6"/>
  <c r="AG159" i="6"/>
  <c r="B160" i="6"/>
  <c r="D160" i="6"/>
  <c r="F160" i="6"/>
  <c r="G160" i="6"/>
  <c r="T160" i="6" s="1"/>
  <c r="R160" i="6"/>
  <c r="S160" i="6"/>
  <c r="AF160" i="6"/>
  <c r="AG160" i="6"/>
  <c r="B161" i="6"/>
  <c r="D161" i="6"/>
  <c r="F161" i="6"/>
  <c r="G161" i="6"/>
  <c r="T161" i="6" s="1"/>
  <c r="R161" i="6"/>
  <c r="S161" i="6"/>
  <c r="AF161" i="6"/>
  <c r="AG161" i="6"/>
  <c r="B162" i="6"/>
  <c r="D162" i="6"/>
  <c r="F162" i="6"/>
  <c r="G162" i="6"/>
  <c r="T162" i="6" s="1"/>
  <c r="R162" i="6"/>
  <c r="S162" i="6"/>
  <c r="AF162" i="6"/>
  <c r="AG162" i="6"/>
  <c r="B163" i="6"/>
  <c r="D163" i="6"/>
  <c r="F163" i="6"/>
  <c r="G163" i="6"/>
  <c r="T163" i="6" s="1"/>
  <c r="R163" i="6"/>
  <c r="S163" i="6"/>
  <c r="AF163" i="6"/>
  <c r="AG163" i="6"/>
  <c r="B164" i="6"/>
  <c r="D164" i="6"/>
  <c r="F164" i="6"/>
  <c r="G164" i="6"/>
  <c r="T164" i="6" s="1"/>
  <c r="R164" i="6"/>
  <c r="S164" i="6"/>
  <c r="AF164" i="6"/>
  <c r="AG164" i="6"/>
  <c r="B165" i="6"/>
  <c r="D165" i="6"/>
  <c r="F165" i="6"/>
  <c r="G165" i="6"/>
  <c r="T165" i="6" s="1"/>
  <c r="R165" i="6"/>
  <c r="S165" i="6"/>
  <c r="AF165" i="6"/>
  <c r="AG165" i="6"/>
  <c r="B166" i="6"/>
  <c r="D166" i="6"/>
  <c r="F166" i="6"/>
  <c r="G166" i="6"/>
  <c r="T166" i="6" s="1"/>
  <c r="R166" i="6"/>
  <c r="S166" i="6"/>
  <c r="AF166" i="6"/>
  <c r="AG166" i="6"/>
  <c r="B167" i="6"/>
  <c r="D167" i="6"/>
  <c r="F167" i="6"/>
  <c r="G167" i="6"/>
  <c r="T167" i="6" s="1"/>
  <c r="R167" i="6"/>
  <c r="S167" i="6"/>
  <c r="AF167" i="6"/>
  <c r="AG167" i="6"/>
  <c r="B168" i="6"/>
  <c r="D168" i="6"/>
  <c r="F168" i="6"/>
  <c r="G168" i="6"/>
  <c r="T168" i="6" s="1"/>
  <c r="R168" i="6"/>
  <c r="S168" i="6"/>
  <c r="AF168" i="6"/>
  <c r="AG168" i="6"/>
  <c r="B169" i="6"/>
  <c r="D169" i="6"/>
  <c r="F169" i="6"/>
  <c r="G169" i="6"/>
  <c r="T169" i="6" s="1"/>
  <c r="R169" i="6"/>
  <c r="S169" i="6"/>
  <c r="AF169" i="6"/>
  <c r="AG169" i="6"/>
  <c r="B170" i="6"/>
  <c r="D170" i="6"/>
  <c r="F170" i="6"/>
  <c r="G170" i="6"/>
  <c r="T170" i="6" s="1"/>
  <c r="R170" i="6"/>
  <c r="S170" i="6"/>
  <c r="AF170" i="6"/>
  <c r="AG170" i="6"/>
  <c r="B171" i="6"/>
  <c r="D171" i="6"/>
  <c r="F171" i="6"/>
  <c r="G171" i="6"/>
  <c r="T171" i="6" s="1"/>
  <c r="R171" i="6"/>
  <c r="S171" i="6"/>
  <c r="AF171" i="6"/>
  <c r="AG171" i="6"/>
  <c r="B172" i="6"/>
  <c r="D172" i="6"/>
  <c r="F172" i="6"/>
  <c r="G172" i="6"/>
  <c r="T172" i="6" s="1"/>
  <c r="R172" i="6"/>
  <c r="S172" i="6"/>
  <c r="AF172" i="6"/>
  <c r="AG172" i="6"/>
  <c r="B173" i="6"/>
  <c r="D173" i="6"/>
  <c r="F173" i="6"/>
  <c r="G173" i="6"/>
  <c r="T173" i="6" s="1"/>
  <c r="R173" i="6"/>
  <c r="S173" i="6"/>
  <c r="AF173" i="6"/>
  <c r="AG173" i="6"/>
  <c r="B174" i="6"/>
  <c r="D174" i="6"/>
  <c r="F174" i="6"/>
  <c r="G174" i="6"/>
  <c r="T174" i="6" s="1"/>
  <c r="R174" i="6"/>
  <c r="S174" i="6"/>
  <c r="AF174" i="6"/>
  <c r="AG174" i="6"/>
  <c r="B175" i="6"/>
  <c r="D175" i="6"/>
  <c r="F175" i="6"/>
  <c r="G175" i="6"/>
  <c r="T175" i="6" s="1"/>
  <c r="R175" i="6"/>
  <c r="S175" i="6"/>
  <c r="AF175" i="6"/>
  <c r="AG175" i="6"/>
  <c r="B176" i="6"/>
  <c r="D176" i="6"/>
  <c r="F176" i="6"/>
  <c r="G176" i="6"/>
  <c r="T176" i="6" s="1"/>
  <c r="R176" i="6"/>
  <c r="S176" i="6"/>
  <c r="AF176" i="6"/>
  <c r="AG176" i="6"/>
  <c r="B177" i="6"/>
  <c r="D177" i="6"/>
  <c r="F177" i="6"/>
  <c r="G177" i="6"/>
  <c r="T177" i="6" s="1"/>
  <c r="R177" i="6"/>
  <c r="S177" i="6"/>
  <c r="AF177" i="6"/>
  <c r="AG177" i="6"/>
  <c r="B178" i="6"/>
  <c r="D178" i="6"/>
  <c r="F178" i="6"/>
  <c r="G178" i="6"/>
  <c r="T178" i="6" s="1"/>
  <c r="R178" i="6"/>
  <c r="S178" i="6"/>
  <c r="AF178" i="6"/>
  <c r="AG178" i="6"/>
  <c r="B179" i="6"/>
  <c r="D179" i="6"/>
  <c r="F179" i="6"/>
  <c r="G179" i="6"/>
  <c r="T179" i="6" s="1"/>
  <c r="R179" i="6"/>
  <c r="S179" i="6"/>
  <c r="AF179" i="6"/>
  <c r="AG179" i="6"/>
  <c r="B180" i="6"/>
  <c r="D180" i="6"/>
  <c r="F180" i="6"/>
  <c r="G180" i="6"/>
  <c r="T180" i="6" s="1"/>
  <c r="R180" i="6"/>
  <c r="S180" i="6"/>
  <c r="AF180" i="6"/>
  <c r="AG180" i="6"/>
  <c r="B181" i="6"/>
  <c r="D181" i="6"/>
  <c r="F181" i="6"/>
  <c r="G181" i="6"/>
  <c r="T181" i="6" s="1"/>
  <c r="R181" i="6"/>
  <c r="S181" i="6"/>
  <c r="AF181" i="6"/>
  <c r="AG181" i="6"/>
  <c r="B182" i="6"/>
  <c r="D182" i="6"/>
  <c r="F182" i="6"/>
  <c r="G182" i="6"/>
  <c r="T182" i="6" s="1"/>
  <c r="R182" i="6"/>
  <c r="S182" i="6"/>
  <c r="AF182" i="6"/>
  <c r="AG182" i="6"/>
  <c r="B183" i="6"/>
  <c r="D183" i="6"/>
  <c r="F183" i="6"/>
  <c r="G183" i="6"/>
  <c r="T183" i="6" s="1"/>
  <c r="R183" i="6"/>
  <c r="S183" i="6"/>
  <c r="AF183" i="6"/>
  <c r="AG183" i="6"/>
  <c r="B184" i="6"/>
  <c r="D184" i="6"/>
  <c r="F184" i="6"/>
  <c r="G184" i="6"/>
  <c r="T184" i="6" s="1"/>
  <c r="R184" i="6"/>
  <c r="S184" i="6"/>
  <c r="AF184" i="6"/>
  <c r="AG184" i="6"/>
  <c r="B185" i="6"/>
  <c r="D185" i="6"/>
  <c r="F185" i="6"/>
  <c r="G185" i="6"/>
  <c r="T185" i="6" s="1"/>
  <c r="R185" i="6"/>
  <c r="S185" i="6"/>
  <c r="AF185" i="6"/>
  <c r="AG185" i="6"/>
  <c r="B186" i="6"/>
  <c r="D186" i="6"/>
  <c r="F186" i="6"/>
  <c r="G186" i="6"/>
  <c r="T186" i="6" s="1"/>
  <c r="R186" i="6"/>
  <c r="S186" i="6"/>
  <c r="AF186" i="6"/>
  <c r="AG186" i="6"/>
  <c r="B187" i="6"/>
  <c r="D187" i="6"/>
  <c r="F187" i="6"/>
  <c r="G187" i="6"/>
  <c r="T187" i="6" s="1"/>
  <c r="R187" i="6"/>
  <c r="S187" i="6"/>
  <c r="AF187" i="6"/>
  <c r="AG187" i="6"/>
  <c r="B188" i="6"/>
  <c r="D188" i="6"/>
  <c r="F188" i="6"/>
  <c r="G188" i="6"/>
  <c r="T188" i="6" s="1"/>
  <c r="R188" i="6"/>
  <c r="S188" i="6"/>
  <c r="AF188" i="6"/>
  <c r="AG188" i="6"/>
  <c r="B189" i="6"/>
  <c r="D189" i="6"/>
  <c r="F189" i="6"/>
  <c r="G189" i="6"/>
  <c r="T189" i="6" s="1"/>
  <c r="R189" i="6"/>
  <c r="S189" i="6"/>
  <c r="AF189" i="6"/>
  <c r="AG189" i="6"/>
  <c r="B190" i="6"/>
  <c r="D190" i="6"/>
  <c r="F190" i="6"/>
  <c r="G190" i="6"/>
  <c r="T190" i="6" s="1"/>
  <c r="R190" i="6"/>
  <c r="S190" i="6"/>
  <c r="AF190" i="6"/>
  <c r="AG190" i="6"/>
  <c r="B191" i="6"/>
  <c r="D191" i="6"/>
  <c r="F191" i="6"/>
  <c r="G191" i="6"/>
  <c r="T191" i="6" s="1"/>
  <c r="R191" i="6"/>
  <c r="S191" i="6"/>
  <c r="AF191" i="6"/>
  <c r="AG191" i="6"/>
  <c r="B192" i="6"/>
  <c r="D192" i="6"/>
  <c r="F192" i="6"/>
  <c r="G192" i="6"/>
  <c r="T192" i="6" s="1"/>
  <c r="R192" i="6"/>
  <c r="S192" i="6"/>
  <c r="AF192" i="6"/>
  <c r="AG192" i="6"/>
  <c r="B193" i="6"/>
  <c r="D193" i="6"/>
  <c r="F193" i="6"/>
  <c r="G193" i="6"/>
  <c r="T193" i="6" s="1"/>
  <c r="R193" i="6"/>
  <c r="S193" i="6"/>
  <c r="AF193" i="6"/>
  <c r="AG193" i="6"/>
  <c r="B194" i="6"/>
  <c r="D194" i="6"/>
  <c r="F194" i="6"/>
  <c r="G194" i="6"/>
  <c r="T194" i="6" s="1"/>
  <c r="R194" i="6"/>
  <c r="S194" i="6"/>
  <c r="AF194" i="6"/>
  <c r="AG194" i="6"/>
  <c r="B195" i="6"/>
  <c r="D195" i="6"/>
  <c r="F195" i="6"/>
  <c r="G195" i="6"/>
  <c r="T195" i="6" s="1"/>
  <c r="R195" i="6"/>
  <c r="S195" i="6"/>
  <c r="AF195" i="6"/>
  <c r="AG195" i="6"/>
  <c r="B196" i="6"/>
  <c r="D196" i="6"/>
  <c r="F196" i="6"/>
  <c r="G196" i="6"/>
  <c r="T196" i="6" s="1"/>
  <c r="R196" i="6"/>
  <c r="S196" i="6"/>
  <c r="AF196" i="6"/>
  <c r="AG196" i="6"/>
  <c r="B197" i="6"/>
  <c r="D197" i="6"/>
  <c r="F197" i="6"/>
  <c r="G197" i="6"/>
  <c r="T197" i="6" s="1"/>
  <c r="R197" i="6"/>
  <c r="S197" i="6"/>
  <c r="AF197" i="6"/>
  <c r="AG197" i="6"/>
  <c r="B198" i="6"/>
  <c r="D198" i="6"/>
  <c r="F198" i="6"/>
  <c r="G198" i="6"/>
  <c r="T198" i="6" s="1"/>
  <c r="R198" i="6"/>
  <c r="S198" i="6"/>
  <c r="AF198" i="6"/>
  <c r="AG198" i="6"/>
  <c r="B199" i="6"/>
  <c r="D199" i="6"/>
  <c r="F199" i="6"/>
  <c r="G199" i="6"/>
  <c r="T199" i="6" s="1"/>
  <c r="R199" i="6"/>
  <c r="S199" i="6"/>
  <c r="AF199" i="6"/>
  <c r="AG199" i="6"/>
  <c r="B200" i="6"/>
  <c r="D200" i="6"/>
  <c r="F200" i="6"/>
  <c r="G200" i="6"/>
  <c r="T200" i="6" s="1"/>
  <c r="R200" i="6"/>
  <c r="S200" i="6"/>
  <c r="AF200" i="6"/>
  <c r="AG200" i="6"/>
  <c r="B201" i="6"/>
  <c r="D201" i="6"/>
  <c r="F201" i="6"/>
  <c r="G201" i="6"/>
  <c r="T201" i="6" s="1"/>
  <c r="R201" i="6"/>
  <c r="S201" i="6"/>
  <c r="AF201" i="6"/>
  <c r="AG201" i="6"/>
  <c r="B202" i="6"/>
  <c r="D202" i="6"/>
  <c r="F202" i="6"/>
  <c r="G202" i="6"/>
  <c r="T202" i="6" s="1"/>
  <c r="R202" i="6"/>
  <c r="S202" i="6"/>
  <c r="AF202" i="6"/>
  <c r="AG202" i="6"/>
  <c r="B203" i="6"/>
  <c r="D203" i="6"/>
  <c r="F203" i="6"/>
  <c r="G203" i="6"/>
  <c r="T203" i="6" s="1"/>
  <c r="R203" i="6"/>
  <c r="S203" i="6"/>
  <c r="AF203" i="6"/>
  <c r="AG203" i="6"/>
  <c r="B204" i="6"/>
  <c r="D204" i="6"/>
  <c r="F204" i="6"/>
  <c r="G204" i="6"/>
  <c r="T204" i="6" s="1"/>
  <c r="R204" i="6"/>
  <c r="S204" i="6"/>
  <c r="AF204" i="6"/>
  <c r="AG204" i="6"/>
  <c r="B205" i="6"/>
  <c r="D205" i="6"/>
  <c r="F205" i="6"/>
  <c r="G205" i="6"/>
  <c r="T205" i="6" s="1"/>
  <c r="R205" i="6"/>
  <c r="S205" i="6"/>
  <c r="AF205" i="6"/>
  <c r="AG205" i="6"/>
  <c r="B206" i="6"/>
  <c r="D206" i="6"/>
  <c r="F206" i="6"/>
  <c r="G206" i="6"/>
  <c r="T206" i="6" s="1"/>
  <c r="R206" i="6"/>
  <c r="S206" i="6"/>
  <c r="AF206" i="6"/>
  <c r="AG206" i="6"/>
  <c r="B207" i="6"/>
  <c r="D207" i="6"/>
  <c r="F207" i="6"/>
  <c r="G207" i="6"/>
  <c r="T207" i="6" s="1"/>
  <c r="R207" i="6"/>
  <c r="S207" i="6"/>
  <c r="AF207" i="6"/>
  <c r="AG207" i="6"/>
  <c r="B208" i="6"/>
  <c r="D208" i="6"/>
  <c r="F208" i="6"/>
  <c r="G208" i="6"/>
  <c r="T208" i="6" s="1"/>
  <c r="R208" i="6"/>
  <c r="S208" i="6"/>
  <c r="AF208" i="6"/>
  <c r="AG208" i="6"/>
  <c r="B209" i="6"/>
  <c r="D209" i="6"/>
  <c r="F209" i="6"/>
  <c r="G209" i="6"/>
  <c r="T209" i="6" s="1"/>
  <c r="R209" i="6"/>
  <c r="S209" i="6"/>
  <c r="AF209" i="6"/>
  <c r="AG209" i="6"/>
  <c r="B210" i="6"/>
  <c r="D210" i="6"/>
  <c r="F210" i="6"/>
  <c r="G210" i="6"/>
  <c r="T210" i="6" s="1"/>
  <c r="R210" i="6"/>
  <c r="S210" i="6"/>
  <c r="AF210" i="6"/>
  <c r="AG210" i="6"/>
  <c r="B211" i="6"/>
  <c r="D211" i="6"/>
  <c r="F211" i="6"/>
  <c r="G211" i="6"/>
  <c r="T211" i="6" s="1"/>
  <c r="R211" i="6"/>
  <c r="S211" i="6"/>
  <c r="AF211" i="6"/>
  <c r="AG211" i="6"/>
  <c r="B212" i="6"/>
  <c r="D212" i="6"/>
  <c r="F212" i="6"/>
  <c r="G212" i="6"/>
  <c r="T212" i="6" s="1"/>
  <c r="R212" i="6"/>
  <c r="S212" i="6"/>
  <c r="AF212" i="6"/>
  <c r="AG212" i="6"/>
  <c r="B213" i="6"/>
  <c r="D213" i="6"/>
  <c r="F213" i="6"/>
  <c r="G213" i="6"/>
  <c r="T213" i="6" s="1"/>
  <c r="R213" i="6"/>
  <c r="S213" i="6"/>
  <c r="AF213" i="6"/>
  <c r="AG213" i="6"/>
  <c r="B214" i="6"/>
  <c r="D214" i="6"/>
  <c r="F214" i="6"/>
  <c r="G214" i="6"/>
  <c r="T214" i="6" s="1"/>
  <c r="R214" i="6"/>
  <c r="S214" i="6"/>
  <c r="AF214" i="6"/>
  <c r="AG214" i="6"/>
  <c r="B215" i="6"/>
  <c r="D215" i="6"/>
  <c r="F215" i="6"/>
  <c r="G215" i="6"/>
  <c r="T215" i="6" s="1"/>
  <c r="R215" i="6"/>
  <c r="S215" i="6"/>
  <c r="AF215" i="6"/>
  <c r="AG215" i="6"/>
  <c r="B216" i="6"/>
  <c r="D216" i="6"/>
  <c r="F216" i="6"/>
  <c r="G216" i="6"/>
  <c r="T216" i="6" s="1"/>
  <c r="R216" i="6"/>
  <c r="S216" i="6"/>
  <c r="AF216" i="6"/>
  <c r="AG216" i="6"/>
  <c r="B217" i="6"/>
  <c r="D217" i="6"/>
  <c r="F217" i="6"/>
  <c r="G217" i="6"/>
  <c r="T217" i="6" s="1"/>
  <c r="R217" i="6"/>
  <c r="S217" i="6"/>
  <c r="AF217" i="6"/>
  <c r="AG217" i="6"/>
  <c r="B218" i="6"/>
  <c r="D218" i="6"/>
  <c r="F218" i="6"/>
  <c r="G218" i="6"/>
  <c r="T218" i="6" s="1"/>
  <c r="R218" i="6"/>
  <c r="S218" i="6"/>
  <c r="AF218" i="6"/>
  <c r="AG218" i="6"/>
  <c r="B219" i="6"/>
  <c r="D219" i="6"/>
  <c r="F219" i="6"/>
  <c r="G219" i="6"/>
  <c r="T219" i="6" s="1"/>
  <c r="R219" i="6"/>
  <c r="S219" i="6"/>
  <c r="AF219" i="6"/>
  <c r="AG219" i="6"/>
  <c r="B220" i="6"/>
  <c r="D220" i="6"/>
  <c r="F220" i="6"/>
  <c r="G220" i="6"/>
  <c r="T220" i="6" s="1"/>
  <c r="R220" i="6"/>
  <c r="S220" i="6"/>
  <c r="AF220" i="6"/>
  <c r="AG220" i="6"/>
  <c r="B221" i="6"/>
  <c r="D221" i="6"/>
  <c r="F221" i="6"/>
  <c r="G221" i="6"/>
  <c r="T221" i="6" s="1"/>
  <c r="R221" i="6"/>
  <c r="S221" i="6"/>
  <c r="AF221" i="6"/>
  <c r="AG221" i="6"/>
  <c r="B222" i="6"/>
  <c r="D222" i="6"/>
  <c r="F222" i="6"/>
  <c r="G222" i="6"/>
  <c r="T222" i="6" s="1"/>
  <c r="R222" i="6"/>
  <c r="S222" i="6"/>
  <c r="AF222" i="6"/>
  <c r="AG222" i="6"/>
  <c r="B223" i="6"/>
  <c r="D223" i="6"/>
  <c r="F223" i="6"/>
  <c r="G223" i="6"/>
  <c r="T223" i="6" s="1"/>
  <c r="R223" i="6"/>
  <c r="S223" i="6"/>
  <c r="AF223" i="6"/>
  <c r="AG223" i="6"/>
  <c r="B224" i="6"/>
  <c r="D224" i="6"/>
  <c r="F224" i="6"/>
  <c r="G224" i="6"/>
  <c r="T224" i="6" s="1"/>
  <c r="R224" i="6"/>
  <c r="S224" i="6"/>
  <c r="AF224" i="6"/>
  <c r="AG224" i="6"/>
  <c r="B225" i="6"/>
  <c r="D225" i="6"/>
  <c r="F225" i="6"/>
  <c r="G225" i="6"/>
  <c r="T225" i="6" s="1"/>
  <c r="R225" i="6"/>
  <c r="S225" i="6"/>
  <c r="AF225" i="6"/>
  <c r="AG225" i="6"/>
  <c r="B226" i="6"/>
  <c r="D226" i="6"/>
  <c r="F226" i="6"/>
  <c r="G226" i="6"/>
  <c r="T226" i="6" s="1"/>
  <c r="R226" i="6"/>
  <c r="S226" i="6"/>
  <c r="AF226" i="6"/>
  <c r="AG226" i="6"/>
  <c r="B227" i="6"/>
  <c r="D227" i="6"/>
  <c r="F227" i="6"/>
  <c r="G227" i="6"/>
  <c r="T227" i="6" s="1"/>
  <c r="R227" i="6"/>
  <c r="S227" i="6"/>
  <c r="AF227" i="6"/>
  <c r="AG227" i="6"/>
  <c r="B228" i="6"/>
  <c r="D228" i="6"/>
  <c r="F228" i="6"/>
  <c r="G228" i="6"/>
  <c r="T228" i="6" s="1"/>
  <c r="R228" i="6"/>
  <c r="S228" i="6"/>
  <c r="AF228" i="6"/>
  <c r="AG228" i="6"/>
  <c r="B229" i="6"/>
  <c r="D229" i="6"/>
  <c r="F229" i="6"/>
  <c r="G229" i="6"/>
  <c r="T229" i="6" s="1"/>
  <c r="R229" i="6"/>
  <c r="S229" i="6"/>
  <c r="AF229" i="6"/>
  <c r="AG229" i="6"/>
  <c r="B230" i="6"/>
  <c r="D230" i="6"/>
  <c r="F230" i="6"/>
  <c r="G230" i="6"/>
  <c r="T230" i="6" s="1"/>
  <c r="R230" i="6"/>
  <c r="S230" i="6"/>
  <c r="AF230" i="6"/>
  <c r="AG230" i="6"/>
  <c r="B231" i="6"/>
  <c r="D231" i="6"/>
  <c r="F231" i="6"/>
  <c r="G231" i="6"/>
  <c r="T231" i="6" s="1"/>
  <c r="R231" i="6"/>
  <c r="S231" i="6"/>
  <c r="AF231" i="6"/>
  <c r="AG231" i="6"/>
  <c r="B232" i="6"/>
  <c r="D232" i="6"/>
  <c r="F232" i="6"/>
  <c r="G232" i="6"/>
  <c r="T232" i="6" s="1"/>
  <c r="R232" i="6"/>
  <c r="S232" i="6"/>
  <c r="AF232" i="6"/>
  <c r="AG232" i="6"/>
  <c r="B233" i="6"/>
  <c r="D233" i="6"/>
  <c r="F233" i="6"/>
  <c r="G233" i="6"/>
  <c r="T233" i="6" s="1"/>
  <c r="R233" i="6"/>
  <c r="S233" i="6"/>
  <c r="AF233" i="6"/>
  <c r="AG233" i="6"/>
  <c r="B234" i="6"/>
  <c r="D234" i="6"/>
  <c r="F234" i="6"/>
  <c r="G234" i="6"/>
  <c r="T234" i="6" s="1"/>
  <c r="R234" i="6"/>
  <c r="S234" i="6"/>
  <c r="AF234" i="6"/>
  <c r="AG234" i="6"/>
  <c r="B235" i="6"/>
  <c r="D235" i="6"/>
  <c r="F235" i="6"/>
  <c r="G235" i="6"/>
  <c r="T235" i="6" s="1"/>
  <c r="R235" i="6"/>
  <c r="S235" i="6"/>
  <c r="AF235" i="6"/>
  <c r="AG235" i="6"/>
  <c r="B236" i="6"/>
  <c r="D236" i="6"/>
  <c r="F236" i="6"/>
  <c r="G236" i="6"/>
  <c r="T236" i="6" s="1"/>
  <c r="R236" i="6"/>
  <c r="S236" i="6"/>
  <c r="AF236" i="6"/>
  <c r="AG236" i="6"/>
  <c r="B237" i="6"/>
  <c r="D237" i="6"/>
  <c r="F237" i="6"/>
  <c r="G237" i="6"/>
  <c r="T237" i="6" s="1"/>
  <c r="R237" i="6"/>
  <c r="S237" i="6"/>
  <c r="AF237" i="6"/>
  <c r="AG237" i="6"/>
  <c r="B238" i="6"/>
  <c r="D238" i="6"/>
  <c r="F238" i="6"/>
  <c r="G238" i="6"/>
  <c r="T238" i="6" s="1"/>
  <c r="R238" i="6"/>
  <c r="S238" i="6"/>
  <c r="AF238" i="6"/>
  <c r="AG238" i="6"/>
  <c r="B239" i="6"/>
  <c r="D239" i="6"/>
  <c r="F239" i="6"/>
  <c r="G239" i="6"/>
  <c r="T239" i="6" s="1"/>
  <c r="R239" i="6"/>
  <c r="S239" i="6"/>
  <c r="AF239" i="6"/>
  <c r="AG239" i="6"/>
  <c r="B240" i="6"/>
  <c r="D240" i="6"/>
  <c r="F240" i="6"/>
  <c r="G240" i="6"/>
  <c r="T240" i="6" s="1"/>
  <c r="R240" i="6"/>
  <c r="S240" i="6"/>
  <c r="AF240" i="6"/>
  <c r="AG240" i="6"/>
  <c r="B241" i="6"/>
  <c r="D241" i="6"/>
  <c r="F241" i="6"/>
  <c r="G241" i="6"/>
  <c r="T241" i="6" s="1"/>
  <c r="R241" i="6"/>
  <c r="S241" i="6"/>
  <c r="AF241" i="6"/>
  <c r="AG241" i="6"/>
  <c r="B242" i="6"/>
  <c r="D242" i="6"/>
  <c r="F242" i="6"/>
  <c r="G242" i="6"/>
  <c r="T242" i="6" s="1"/>
  <c r="R242" i="6"/>
  <c r="S242" i="6"/>
  <c r="AF242" i="6"/>
  <c r="AG242" i="6"/>
  <c r="B243" i="6"/>
  <c r="D243" i="6"/>
  <c r="F243" i="6"/>
  <c r="G243" i="6"/>
  <c r="T243" i="6" s="1"/>
  <c r="R243" i="6"/>
  <c r="S243" i="6"/>
  <c r="AF243" i="6"/>
  <c r="AG243" i="6"/>
  <c r="B244" i="6"/>
  <c r="D244" i="6"/>
  <c r="F244" i="6"/>
  <c r="G244" i="6"/>
  <c r="T244" i="6" s="1"/>
  <c r="R244" i="6"/>
  <c r="S244" i="6"/>
  <c r="AF244" i="6"/>
  <c r="AG244" i="6"/>
  <c r="B245" i="6"/>
  <c r="D245" i="6"/>
  <c r="F245" i="6"/>
  <c r="G245" i="6"/>
  <c r="T245" i="6" s="1"/>
  <c r="R245" i="6"/>
  <c r="S245" i="6"/>
  <c r="AF245" i="6"/>
  <c r="AG245" i="6"/>
  <c r="B246" i="6"/>
  <c r="D246" i="6"/>
  <c r="F246" i="6"/>
  <c r="G246" i="6"/>
  <c r="T246" i="6" s="1"/>
  <c r="R246" i="6"/>
  <c r="S246" i="6"/>
  <c r="AF246" i="6"/>
  <c r="AG246" i="6"/>
  <c r="B247" i="6"/>
  <c r="D247" i="6"/>
  <c r="F247" i="6"/>
  <c r="G247" i="6"/>
  <c r="T247" i="6" s="1"/>
  <c r="R247" i="6"/>
  <c r="S247" i="6"/>
  <c r="AF247" i="6"/>
  <c r="AG247" i="6"/>
  <c r="B248" i="6"/>
  <c r="D248" i="6"/>
  <c r="F248" i="6"/>
  <c r="G248" i="6"/>
  <c r="T248" i="6" s="1"/>
  <c r="R248" i="6"/>
  <c r="S248" i="6"/>
  <c r="AF248" i="6"/>
  <c r="AG248" i="6"/>
  <c r="B249" i="6"/>
  <c r="D249" i="6"/>
  <c r="F249" i="6"/>
  <c r="G249" i="6"/>
  <c r="T249" i="6" s="1"/>
  <c r="R249" i="6"/>
  <c r="S249" i="6"/>
  <c r="AF249" i="6"/>
  <c r="AG249" i="6"/>
  <c r="B250" i="6"/>
  <c r="D250" i="6"/>
  <c r="F250" i="6"/>
  <c r="G250" i="6"/>
  <c r="T250" i="6" s="1"/>
  <c r="R250" i="6"/>
  <c r="S250" i="6"/>
  <c r="AF250" i="6"/>
  <c r="AG250" i="6"/>
  <c r="B251" i="6"/>
  <c r="D251" i="6"/>
  <c r="F251" i="6"/>
  <c r="G251" i="6"/>
  <c r="T251" i="6" s="1"/>
  <c r="R251" i="6"/>
  <c r="S251" i="6"/>
  <c r="AF251" i="6"/>
  <c r="AG251" i="6"/>
  <c r="B252" i="6"/>
  <c r="D252" i="6"/>
  <c r="F252" i="6"/>
  <c r="G252" i="6"/>
  <c r="T252" i="6" s="1"/>
  <c r="R252" i="6"/>
  <c r="S252" i="6"/>
  <c r="AF252" i="6"/>
  <c r="AG252" i="6"/>
  <c r="B253" i="6"/>
  <c r="D253" i="6"/>
  <c r="F253" i="6"/>
  <c r="G253" i="6"/>
  <c r="T253" i="6" s="1"/>
  <c r="R253" i="6"/>
  <c r="S253" i="6"/>
  <c r="AF253" i="6"/>
  <c r="AG253" i="6"/>
  <c r="B254" i="6"/>
  <c r="D254" i="6"/>
  <c r="F254" i="6"/>
  <c r="G254" i="6"/>
  <c r="T254" i="6" s="1"/>
  <c r="R254" i="6"/>
  <c r="S254" i="6"/>
  <c r="AF254" i="6"/>
  <c r="AG254" i="6"/>
  <c r="B255" i="6"/>
  <c r="D255" i="6"/>
  <c r="F255" i="6"/>
  <c r="G255" i="6"/>
  <c r="T255" i="6" s="1"/>
  <c r="R255" i="6"/>
  <c r="S255" i="6"/>
  <c r="AF255" i="6"/>
  <c r="AG255" i="6"/>
  <c r="B256" i="6"/>
  <c r="D256" i="6"/>
  <c r="F256" i="6"/>
  <c r="G256" i="6"/>
  <c r="T256" i="6" s="1"/>
  <c r="R256" i="6"/>
  <c r="S256" i="6"/>
  <c r="AF256" i="6"/>
  <c r="AG256" i="6"/>
  <c r="B257" i="6"/>
  <c r="D257" i="6"/>
  <c r="F257" i="6"/>
  <c r="G257" i="6"/>
  <c r="T257" i="6" s="1"/>
  <c r="R257" i="6"/>
  <c r="S257" i="6"/>
  <c r="AF257" i="6"/>
  <c r="AG257" i="6"/>
  <c r="B258" i="6"/>
  <c r="D258" i="6"/>
  <c r="F258" i="6"/>
  <c r="G258" i="6"/>
  <c r="T258" i="6" s="1"/>
  <c r="R258" i="6"/>
  <c r="S258" i="6"/>
  <c r="AF258" i="6"/>
  <c r="AG258" i="6"/>
  <c r="B259" i="6"/>
  <c r="D259" i="6"/>
  <c r="F259" i="6"/>
  <c r="G259" i="6"/>
  <c r="T259" i="6" s="1"/>
  <c r="R259" i="6"/>
  <c r="S259" i="6"/>
  <c r="AF259" i="6"/>
  <c r="AG259" i="6"/>
  <c r="B260" i="6"/>
  <c r="D260" i="6"/>
  <c r="F260" i="6"/>
  <c r="G260" i="6"/>
  <c r="T260" i="6" s="1"/>
  <c r="R260" i="6"/>
  <c r="S260" i="6"/>
  <c r="AF260" i="6"/>
  <c r="AG260" i="6"/>
  <c r="B261" i="6"/>
  <c r="D261" i="6"/>
  <c r="F261" i="6"/>
  <c r="G261" i="6"/>
  <c r="T261" i="6" s="1"/>
  <c r="R261" i="6"/>
  <c r="S261" i="6"/>
  <c r="AF261" i="6"/>
  <c r="AG261" i="6"/>
  <c r="B262" i="6"/>
  <c r="D262" i="6"/>
  <c r="F262" i="6"/>
  <c r="G262" i="6"/>
  <c r="T262" i="6" s="1"/>
  <c r="R262" i="6"/>
  <c r="S262" i="6"/>
  <c r="AF262" i="6"/>
  <c r="AG262" i="6"/>
  <c r="B263" i="6"/>
  <c r="D263" i="6"/>
  <c r="F263" i="6"/>
  <c r="G263" i="6"/>
  <c r="T263" i="6" s="1"/>
  <c r="R263" i="6"/>
  <c r="S263" i="6"/>
  <c r="AF263" i="6"/>
  <c r="AG263" i="6"/>
  <c r="B264" i="6"/>
  <c r="D264" i="6"/>
  <c r="F264" i="6"/>
  <c r="G264" i="6"/>
  <c r="T264" i="6" s="1"/>
  <c r="R264" i="6"/>
  <c r="S264" i="6"/>
  <c r="AF264" i="6"/>
  <c r="AG264" i="6"/>
  <c r="B265" i="6"/>
  <c r="D265" i="6"/>
  <c r="F265" i="6"/>
  <c r="G265" i="6"/>
  <c r="T265" i="6" s="1"/>
  <c r="R265" i="6"/>
  <c r="S265" i="6"/>
  <c r="AF265" i="6"/>
  <c r="AG265" i="6"/>
  <c r="B266" i="6"/>
  <c r="D266" i="6"/>
  <c r="F266" i="6"/>
  <c r="G266" i="6"/>
  <c r="T266" i="6" s="1"/>
  <c r="R266" i="6"/>
  <c r="S266" i="6"/>
  <c r="AF266" i="6"/>
  <c r="AG266" i="6"/>
  <c r="B267" i="6"/>
  <c r="D267" i="6"/>
  <c r="F267" i="6"/>
  <c r="G267" i="6"/>
  <c r="T267" i="6" s="1"/>
  <c r="R267" i="6"/>
  <c r="S267" i="6"/>
  <c r="AF267" i="6"/>
  <c r="AG267" i="6"/>
  <c r="B268" i="6"/>
  <c r="D268" i="6"/>
  <c r="F268" i="6"/>
  <c r="G268" i="6"/>
  <c r="T268" i="6" s="1"/>
  <c r="R268" i="6"/>
  <c r="S268" i="6"/>
  <c r="AF268" i="6"/>
  <c r="AG268" i="6"/>
  <c r="B269" i="6"/>
  <c r="D269" i="6"/>
  <c r="F269" i="6"/>
  <c r="G269" i="6"/>
  <c r="T269" i="6" s="1"/>
  <c r="R269" i="6"/>
  <c r="S269" i="6"/>
  <c r="AF269" i="6"/>
  <c r="AG269" i="6"/>
  <c r="B270" i="6"/>
  <c r="D270" i="6"/>
  <c r="F270" i="6"/>
  <c r="G270" i="6"/>
  <c r="T270" i="6" s="1"/>
  <c r="R270" i="6"/>
  <c r="S270" i="6"/>
  <c r="AF270" i="6"/>
  <c r="AG270" i="6"/>
  <c r="B271" i="6"/>
  <c r="D271" i="6"/>
  <c r="F271" i="6"/>
  <c r="G271" i="6"/>
  <c r="T271" i="6" s="1"/>
  <c r="R271" i="6"/>
  <c r="S271" i="6"/>
  <c r="AF271" i="6"/>
  <c r="AG271" i="6"/>
  <c r="B272" i="6"/>
  <c r="D272" i="6"/>
  <c r="F272" i="6"/>
  <c r="G272" i="6"/>
  <c r="T272" i="6" s="1"/>
  <c r="R272" i="6"/>
  <c r="S272" i="6"/>
  <c r="AF272" i="6"/>
  <c r="AG272" i="6"/>
  <c r="B273" i="6"/>
  <c r="D273" i="6"/>
  <c r="F273" i="6"/>
  <c r="G273" i="6"/>
  <c r="T273" i="6" s="1"/>
  <c r="R273" i="6"/>
  <c r="S273" i="6"/>
  <c r="AF273" i="6"/>
  <c r="AG273" i="6"/>
  <c r="B274" i="6"/>
  <c r="D274" i="6"/>
  <c r="F274" i="6"/>
  <c r="G274" i="6"/>
  <c r="T274" i="6" s="1"/>
  <c r="R274" i="6"/>
  <c r="S274" i="6"/>
  <c r="AF274" i="6"/>
  <c r="AG274" i="6"/>
  <c r="B275" i="6"/>
  <c r="D275" i="6"/>
  <c r="F275" i="6"/>
  <c r="G275" i="6"/>
  <c r="T275" i="6" s="1"/>
  <c r="R275" i="6"/>
  <c r="S275" i="6"/>
  <c r="AF275" i="6"/>
  <c r="AG275" i="6"/>
  <c r="B276" i="6"/>
  <c r="D276" i="6"/>
  <c r="F276" i="6"/>
  <c r="G276" i="6"/>
  <c r="T276" i="6" s="1"/>
  <c r="R276" i="6"/>
  <c r="S276" i="6"/>
  <c r="AF276" i="6"/>
  <c r="AG276" i="6"/>
  <c r="B277" i="6"/>
  <c r="D277" i="6"/>
  <c r="F277" i="6"/>
  <c r="G277" i="6"/>
  <c r="T277" i="6" s="1"/>
  <c r="R277" i="6"/>
  <c r="S277" i="6"/>
  <c r="AF277" i="6"/>
  <c r="AG277" i="6"/>
  <c r="B278" i="6"/>
  <c r="D278" i="6"/>
  <c r="F278" i="6"/>
  <c r="G278" i="6"/>
  <c r="T278" i="6" s="1"/>
  <c r="R278" i="6"/>
  <c r="S278" i="6"/>
  <c r="AF278" i="6"/>
  <c r="AG278" i="6"/>
  <c r="B279" i="6"/>
  <c r="D279" i="6"/>
  <c r="F279" i="6"/>
  <c r="G279" i="6"/>
  <c r="T279" i="6" s="1"/>
  <c r="R279" i="6"/>
  <c r="S279" i="6"/>
  <c r="AF279" i="6"/>
  <c r="AG279" i="6"/>
  <c r="B280" i="6"/>
  <c r="D280" i="6"/>
  <c r="F280" i="6"/>
  <c r="G280" i="6"/>
  <c r="T280" i="6" s="1"/>
  <c r="R280" i="6"/>
  <c r="S280" i="6"/>
  <c r="AF280" i="6"/>
  <c r="AG280" i="6"/>
  <c r="B281" i="6"/>
  <c r="D281" i="6"/>
  <c r="F281" i="6"/>
  <c r="G281" i="6"/>
  <c r="T281" i="6" s="1"/>
  <c r="R281" i="6"/>
  <c r="S281" i="6"/>
  <c r="AF281" i="6"/>
  <c r="AG281" i="6"/>
  <c r="B282" i="6"/>
  <c r="D282" i="6"/>
  <c r="F282" i="6"/>
  <c r="G282" i="6"/>
  <c r="T282" i="6" s="1"/>
  <c r="R282" i="6"/>
  <c r="S282" i="6"/>
  <c r="AF282" i="6"/>
  <c r="AG282" i="6"/>
  <c r="B283" i="6"/>
  <c r="D283" i="6"/>
  <c r="F283" i="6"/>
  <c r="G283" i="6"/>
  <c r="T283" i="6" s="1"/>
  <c r="R283" i="6"/>
  <c r="S283" i="6"/>
  <c r="AF283" i="6"/>
  <c r="AG283" i="6"/>
  <c r="B284" i="6"/>
  <c r="D284" i="6"/>
  <c r="F284" i="6"/>
  <c r="G284" i="6"/>
  <c r="T284" i="6" s="1"/>
  <c r="R284" i="6"/>
  <c r="S284" i="6"/>
  <c r="AF284" i="6"/>
  <c r="AG284" i="6"/>
  <c r="B285" i="6"/>
  <c r="D285" i="6"/>
  <c r="F285" i="6"/>
  <c r="G285" i="6"/>
  <c r="T285" i="6" s="1"/>
  <c r="R285" i="6"/>
  <c r="S285" i="6"/>
  <c r="AF285" i="6"/>
  <c r="AG285" i="6"/>
  <c r="B286" i="6"/>
  <c r="D286" i="6"/>
  <c r="F286" i="6"/>
  <c r="G286" i="6"/>
  <c r="T286" i="6" s="1"/>
  <c r="R286" i="6"/>
  <c r="S286" i="6"/>
  <c r="AF286" i="6"/>
  <c r="AG286" i="6"/>
  <c r="B287" i="6"/>
  <c r="D287" i="6"/>
  <c r="F287" i="6"/>
  <c r="G287" i="6"/>
  <c r="T287" i="6" s="1"/>
  <c r="R287" i="6"/>
  <c r="S287" i="6"/>
  <c r="AF287" i="6"/>
  <c r="AG287" i="6"/>
  <c r="B288" i="6"/>
  <c r="D288" i="6"/>
  <c r="F288" i="6"/>
  <c r="G288" i="6"/>
  <c r="T288" i="6" s="1"/>
  <c r="R288" i="6"/>
  <c r="S288" i="6"/>
  <c r="AF288" i="6"/>
  <c r="AG288" i="6"/>
  <c r="B289" i="6"/>
  <c r="D289" i="6"/>
  <c r="F289" i="6"/>
  <c r="G289" i="6"/>
  <c r="T289" i="6" s="1"/>
  <c r="R289" i="6"/>
  <c r="S289" i="6"/>
  <c r="AF289" i="6"/>
  <c r="AG289" i="6"/>
  <c r="B290" i="6"/>
  <c r="D290" i="6"/>
  <c r="F290" i="6"/>
  <c r="G290" i="6"/>
  <c r="T290" i="6" s="1"/>
  <c r="R290" i="6"/>
  <c r="S290" i="6"/>
  <c r="AF290" i="6"/>
  <c r="AG290" i="6"/>
  <c r="B291" i="6"/>
  <c r="D291" i="6"/>
  <c r="F291" i="6"/>
  <c r="G291" i="6"/>
  <c r="T291" i="6" s="1"/>
  <c r="R291" i="6"/>
  <c r="S291" i="6"/>
  <c r="AF291" i="6"/>
  <c r="AG291" i="6"/>
  <c r="B292" i="6"/>
  <c r="D292" i="6"/>
  <c r="F292" i="6"/>
  <c r="G292" i="6"/>
  <c r="T292" i="6" s="1"/>
  <c r="R292" i="6"/>
  <c r="S292" i="6"/>
  <c r="AF292" i="6"/>
  <c r="AG292" i="6"/>
  <c r="B293" i="6"/>
  <c r="D293" i="6"/>
  <c r="F293" i="6"/>
  <c r="G293" i="6"/>
  <c r="T293" i="6" s="1"/>
  <c r="R293" i="6"/>
  <c r="S293" i="6"/>
  <c r="AF293" i="6"/>
  <c r="AG293" i="6"/>
  <c r="B294" i="6"/>
  <c r="D294" i="6"/>
  <c r="F294" i="6"/>
  <c r="G294" i="6"/>
  <c r="T294" i="6" s="1"/>
  <c r="R294" i="6"/>
  <c r="S294" i="6"/>
  <c r="AF294" i="6"/>
  <c r="AG294" i="6"/>
  <c r="B295" i="6"/>
  <c r="D295" i="6"/>
  <c r="F295" i="6"/>
  <c r="G295" i="6"/>
  <c r="T295" i="6" s="1"/>
  <c r="R295" i="6"/>
  <c r="S295" i="6"/>
  <c r="AF295" i="6"/>
  <c r="AG295" i="6"/>
  <c r="B296" i="6"/>
  <c r="D296" i="6"/>
  <c r="F296" i="6"/>
  <c r="G296" i="6"/>
  <c r="T296" i="6" s="1"/>
  <c r="R296" i="6"/>
  <c r="S296" i="6"/>
  <c r="AF296" i="6"/>
  <c r="AG296" i="6"/>
  <c r="B297" i="6"/>
  <c r="D297" i="6"/>
  <c r="F297" i="6"/>
  <c r="G297" i="6"/>
  <c r="T297" i="6" s="1"/>
  <c r="R297" i="6"/>
  <c r="S297" i="6"/>
  <c r="AF297" i="6"/>
  <c r="AG297" i="6"/>
  <c r="B298" i="6"/>
  <c r="D298" i="6"/>
  <c r="F298" i="6"/>
  <c r="G298" i="6"/>
  <c r="T298" i="6" s="1"/>
  <c r="R298" i="6"/>
  <c r="S298" i="6"/>
  <c r="AF298" i="6"/>
  <c r="AG298" i="6"/>
  <c r="B299" i="6"/>
  <c r="D299" i="6"/>
  <c r="F299" i="6"/>
  <c r="G299" i="6"/>
  <c r="T299" i="6" s="1"/>
  <c r="R299" i="6"/>
  <c r="S299" i="6"/>
  <c r="AF299" i="6"/>
  <c r="AG299" i="6"/>
  <c r="B300" i="6"/>
  <c r="D300" i="6"/>
  <c r="F300" i="6"/>
  <c r="G300" i="6"/>
  <c r="T300" i="6" s="1"/>
  <c r="R300" i="6"/>
  <c r="S300" i="6"/>
  <c r="AF300" i="6"/>
  <c r="AG300" i="6"/>
  <c r="B301" i="6"/>
  <c r="D301" i="6"/>
  <c r="F301" i="6"/>
  <c r="G301" i="6"/>
  <c r="T301" i="6" s="1"/>
  <c r="R301" i="6"/>
  <c r="S301" i="6"/>
  <c r="AF301" i="6"/>
  <c r="AG301" i="6"/>
  <c r="B302" i="6"/>
  <c r="D302" i="6"/>
  <c r="F302" i="6"/>
  <c r="G302" i="6"/>
  <c r="T302" i="6" s="1"/>
  <c r="R302" i="6"/>
  <c r="S302" i="6"/>
  <c r="AF302" i="6"/>
  <c r="AG302" i="6"/>
  <c r="B303" i="6"/>
  <c r="D303" i="6"/>
  <c r="F303" i="6"/>
  <c r="G303" i="6"/>
  <c r="T303" i="6" s="1"/>
  <c r="R303" i="6"/>
  <c r="S303" i="6"/>
  <c r="AF303" i="6"/>
  <c r="AG303" i="6"/>
  <c r="B304" i="6"/>
  <c r="D304" i="6"/>
  <c r="F304" i="6"/>
  <c r="G304" i="6"/>
  <c r="T304" i="6" s="1"/>
  <c r="R304" i="6"/>
  <c r="S304" i="6"/>
  <c r="AF304" i="6"/>
  <c r="AG304" i="6"/>
  <c r="B305" i="6"/>
  <c r="D305" i="6"/>
  <c r="F305" i="6"/>
  <c r="G305" i="6"/>
  <c r="T305" i="6" s="1"/>
  <c r="R305" i="6"/>
  <c r="S305" i="6"/>
  <c r="AF305" i="6"/>
  <c r="AG305" i="6"/>
  <c r="B306" i="6"/>
  <c r="D306" i="6"/>
  <c r="F306" i="6"/>
  <c r="G306" i="6"/>
  <c r="T306" i="6" s="1"/>
  <c r="R306" i="6"/>
  <c r="S306" i="6"/>
  <c r="AF306" i="6"/>
  <c r="AG306" i="6"/>
  <c r="B307" i="6"/>
  <c r="D307" i="6"/>
  <c r="F307" i="6"/>
  <c r="G307" i="6"/>
  <c r="T307" i="6" s="1"/>
  <c r="R307" i="6"/>
  <c r="S307" i="6"/>
  <c r="AF307" i="6"/>
  <c r="AG307" i="6"/>
  <c r="B308" i="6"/>
  <c r="D308" i="6"/>
  <c r="F308" i="6"/>
  <c r="G308" i="6"/>
  <c r="T308" i="6" s="1"/>
  <c r="R308" i="6"/>
  <c r="S308" i="6"/>
  <c r="AF308" i="6"/>
  <c r="AG308" i="6"/>
  <c r="B309" i="6"/>
  <c r="D309" i="6"/>
  <c r="F309" i="6"/>
  <c r="G309" i="6"/>
  <c r="T309" i="6" s="1"/>
  <c r="R309" i="6"/>
  <c r="S309" i="6"/>
  <c r="AF309" i="6"/>
  <c r="AG309" i="6"/>
  <c r="B310" i="6"/>
  <c r="D310" i="6"/>
  <c r="F310" i="6"/>
  <c r="G310" i="6"/>
  <c r="T310" i="6" s="1"/>
  <c r="R310" i="6"/>
  <c r="S310" i="6"/>
  <c r="AF310" i="6"/>
  <c r="AG310" i="6"/>
  <c r="B311" i="6"/>
  <c r="D311" i="6"/>
  <c r="F311" i="6"/>
  <c r="G311" i="6"/>
  <c r="T311" i="6" s="1"/>
  <c r="R311" i="6"/>
  <c r="S311" i="6"/>
  <c r="AF311" i="6"/>
  <c r="AG311" i="6"/>
  <c r="B312" i="6"/>
  <c r="D312" i="6"/>
  <c r="F312" i="6"/>
  <c r="G312" i="6"/>
  <c r="T312" i="6" s="1"/>
  <c r="R312" i="6"/>
  <c r="S312" i="6"/>
  <c r="AF312" i="6"/>
  <c r="AG312" i="6"/>
  <c r="B313" i="6"/>
  <c r="D313" i="6"/>
  <c r="F313" i="6"/>
  <c r="G313" i="6"/>
  <c r="T313" i="6" s="1"/>
  <c r="R313" i="6"/>
  <c r="S313" i="6"/>
  <c r="AF313" i="6"/>
  <c r="AG313" i="6"/>
  <c r="B314" i="6"/>
  <c r="D314" i="6"/>
  <c r="F314" i="6"/>
  <c r="G314" i="6"/>
  <c r="T314" i="6" s="1"/>
  <c r="R314" i="6"/>
  <c r="S314" i="6"/>
  <c r="AF314" i="6"/>
  <c r="AG314" i="6"/>
  <c r="B315" i="6"/>
  <c r="D315" i="6"/>
  <c r="F315" i="6"/>
  <c r="G315" i="6"/>
  <c r="T315" i="6" s="1"/>
  <c r="R315" i="6"/>
  <c r="S315" i="6"/>
  <c r="AF315" i="6"/>
  <c r="AG315" i="6"/>
  <c r="B316" i="6"/>
  <c r="D316" i="6"/>
  <c r="F316" i="6"/>
  <c r="G316" i="6"/>
  <c r="T316" i="6" s="1"/>
  <c r="R316" i="6"/>
  <c r="S316" i="6"/>
  <c r="AF316" i="6"/>
  <c r="AG316" i="6"/>
  <c r="B317" i="6"/>
  <c r="D317" i="6"/>
  <c r="F317" i="6"/>
  <c r="G317" i="6"/>
  <c r="T317" i="6" s="1"/>
  <c r="R317" i="6"/>
  <c r="S317" i="6"/>
  <c r="AF317" i="6"/>
  <c r="AG317" i="6"/>
  <c r="B318" i="6"/>
  <c r="D318" i="6"/>
  <c r="F318" i="6"/>
  <c r="G318" i="6"/>
  <c r="T318" i="6" s="1"/>
  <c r="R318" i="6"/>
  <c r="S318" i="6"/>
  <c r="AF318" i="6"/>
  <c r="AG318" i="6"/>
  <c r="B319" i="6"/>
  <c r="D319" i="6"/>
  <c r="F319" i="6"/>
  <c r="G319" i="6"/>
  <c r="T319" i="6" s="1"/>
  <c r="R319" i="6"/>
  <c r="S319" i="6"/>
  <c r="AF319" i="6"/>
  <c r="AG319" i="6"/>
  <c r="B320" i="6"/>
  <c r="D320" i="6"/>
  <c r="F320" i="6"/>
  <c r="G320" i="6"/>
  <c r="T320" i="6" s="1"/>
  <c r="R320" i="6"/>
  <c r="S320" i="6"/>
  <c r="AF320" i="6"/>
  <c r="AG320" i="6"/>
  <c r="B321" i="6"/>
  <c r="D321" i="6"/>
  <c r="F321" i="6"/>
  <c r="G321" i="6"/>
  <c r="T321" i="6" s="1"/>
  <c r="R321" i="6"/>
  <c r="S321" i="6"/>
  <c r="AF321" i="6"/>
  <c r="AG321" i="6"/>
  <c r="B322" i="6"/>
  <c r="D322" i="6"/>
  <c r="F322" i="6"/>
  <c r="G322" i="6"/>
  <c r="T322" i="6" s="1"/>
  <c r="R322" i="6"/>
  <c r="S322" i="6"/>
  <c r="AF322" i="6"/>
  <c r="AG322" i="6"/>
  <c r="B323" i="6"/>
  <c r="D323" i="6"/>
  <c r="F323" i="6"/>
  <c r="G323" i="6"/>
  <c r="T323" i="6" s="1"/>
  <c r="R323" i="6"/>
  <c r="S323" i="6"/>
  <c r="AF323" i="6"/>
  <c r="AG323" i="6"/>
  <c r="B324" i="6"/>
  <c r="D324" i="6"/>
  <c r="F324" i="6"/>
  <c r="G324" i="6"/>
  <c r="T324" i="6" s="1"/>
  <c r="R324" i="6"/>
  <c r="S324" i="6"/>
  <c r="AF324" i="6"/>
  <c r="AG324" i="6"/>
  <c r="B325" i="6"/>
  <c r="D325" i="6"/>
  <c r="F325" i="6"/>
  <c r="G325" i="6"/>
  <c r="T325" i="6" s="1"/>
  <c r="R325" i="6"/>
  <c r="S325" i="6"/>
  <c r="AF325" i="6"/>
  <c r="AG325" i="6"/>
  <c r="B326" i="6"/>
  <c r="D326" i="6"/>
  <c r="F326" i="6"/>
  <c r="G326" i="6"/>
  <c r="T326" i="6" s="1"/>
  <c r="R326" i="6"/>
  <c r="S326" i="6"/>
  <c r="AF326" i="6"/>
  <c r="AG326" i="6"/>
  <c r="B327" i="6"/>
  <c r="D327" i="6"/>
  <c r="F327" i="6"/>
  <c r="G327" i="6"/>
  <c r="T327" i="6" s="1"/>
  <c r="R327" i="6"/>
  <c r="S327" i="6"/>
  <c r="AF327" i="6"/>
  <c r="AG327" i="6"/>
  <c r="B328" i="6"/>
  <c r="D328" i="6"/>
  <c r="F328" i="6"/>
  <c r="G328" i="6"/>
  <c r="T328" i="6" s="1"/>
  <c r="R328" i="6"/>
  <c r="S328" i="6"/>
  <c r="AF328" i="6"/>
  <c r="AG328" i="6"/>
  <c r="B329" i="6"/>
  <c r="D329" i="6"/>
  <c r="F329" i="6"/>
  <c r="G329" i="6"/>
  <c r="T329" i="6" s="1"/>
  <c r="R329" i="6"/>
  <c r="S329" i="6"/>
  <c r="AF329" i="6"/>
  <c r="AG329" i="6"/>
  <c r="B330" i="6"/>
  <c r="D330" i="6"/>
  <c r="F330" i="6"/>
  <c r="G330" i="6"/>
  <c r="T330" i="6" s="1"/>
  <c r="R330" i="6"/>
  <c r="S330" i="6"/>
  <c r="AF330" i="6"/>
  <c r="AG330" i="6"/>
  <c r="B331" i="6"/>
  <c r="D331" i="6"/>
  <c r="F331" i="6"/>
  <c r="G331" i="6"/>
  <c r="T331" i="6" s="1"/>
  <c r="R331" i="6"/>
  <c r="S331" i="6"/>
  <c r="AF331" i="6"/>
  <c r="AG331" i="6"/>
  <c r="B332" i="6"/>
  <c r="D332" i="6"/>
  <c r="F332" i="6"/>
  <c r="G332" i="6"/>
  <c r="T332" i="6" s="1"/>
  <c r="R332" i="6"/>
  <c r="S332" i="6"/>
  <c r="AF332" i="6"/>
  <c r="AG332" i="6"/>
  <c r="B333" i="6"/>
  <c r="D333" i="6"/>
  <c r="F333" i="6"/>
  <c r="G333" i="6"/>
  <c r="T333" i="6" s="1"/>
  <c r="R333" i="6"/>
  <c r="S333" i="6"/>
  <c r="AF333" i="6"/>
  <c r="AG333" i="6"/>
  <c r="B334" i="6"/>
  <c r="D334" i="6"/>
  <c r="F334" i="6"/>
  <c r="G334" i="6"/>
  <c r="T334" i="6" s="1"/>
  <c r="R334" i="6"/>
  <c r="S334" i="6"/>
  <c r="AF334" i="6"/>
  <c r="AG334" i="6"/>
  <c r="B335" i="6"/>
  <c r="D335" i="6"/>
  <c r="F335" i="6"/>
  <c r="G335" i="6"/>
  <c r="T335" i="6" s="1"/>
  <c r="R335" i="6"/>
  <c r="S335" i="6"/>
  <c r="AF335" i="6"/>
  <c r="AG335" i="6"/>
  <c r="B336" i="6"/>
  <c r="D336" i="6"/>
  <c r="F336" i="6"/>
  <c r="G336" i="6"/>
  <c r="T336" i="6" s="1"/>
  <c r="R336" i="6"/>
  <c r="S336" i="6"/>
  <c r="AF336" i="6"/>
  <c r="AG336" i="6"/>
  <c r="B337" i="6"/>
  <c r="D337" i="6"/>
  <c r="F337" i="6"/>
  <c r="G337" i="6"/>
  <c r="T337" i="6" s="1"/>
  <c r="R337" i="6"/>
  <c r="S337" i="6"/>
  <c r="AF337" i="6"/>
  <c r="AG337" i="6"/>
  <c r="B338" i="6"/>
  <c r="D338" i="6"/>
  <c r="F338" i="6"/>
  <c r="G338" i="6"/>
  <c r="T338" i="6" s="1"/>
  <c r="R338" i="6"/>
  <c r="S338" i="6"/>
  <c r="AF338" i="6"/>
  <c r="AG338" i="6"/>
  <c r="B339" i="6"/>
  <c r="D339" i="6"/>
  <c r="F339" i="6"/>
  <c r="G339" i="6"/>
  <c r="T339" i="6" s="1"/>
  <c r="R339" i="6"/>
  <c r="S339" i="6"/>
  <c r="AF339" i="6"/>
  <c r="AG339" i="6"/>
  <c r="B340" i="6"/>
  <c r="D340" i="6"/>
  <c r="F340" i="6"/>
  <c r="G340" i="6"/>
  <c r="T340" i="6" s="1"/>
  <c r="R340" i="6"/>
  <c r="S340" i="6"/>
  <c r="AF340" i="6"/>
  <c r="AG340" i="6"/>
  <c r="B341" i="6"/>
  <c r="D341" i="6"/>
  <c r="F341" i="6"/>
  <c r="G341" i="6"/>
  <c r="T341" i="6" s="1"/>
  <c r="R341" i="6"/>
  <c r="S341" i="6"/>
  <c r="AF341" i="6"/>
  <c r="AG341" i="6"/>
  <c r="B342" i="6"/>
  <c r="D342" i="6"/>
  <c r="F342" i="6"/>
  <c r="G342" i="6"/>
  <c r="T342" i="6" s="1"/>
  <c r="R342" i="6"/>
  <c r="S342" i="6"/>
  <c r="AF342" i="6"/>
  <c r="AG342" i="6"/>
  <c r="B343" i="6"/>
  <c r="D343" i="6"/>
  <c r="F343" i="6"/>
  <c r="G343" i="6"/>
  <c r="T343" i="6" s="1"/>
  <c r="R343" i="6"/>
  <c r="S343" i="6"/>
  <c r="AF343" i="6"/>
  <c r="AG343" i="6"/>
  <c r="B344" i="6"/>
  <c r="D344" i="6"/>
  <c r="F344" i="6"/>
  <c r="G344" i="6"/>
  <c r="T344" i="6" s="1"/>
  <c r="R344" i="6"/>
  <c r="S344" i="6"/>
  <c r="AF344" i="6"/>
  <c r="AG344" i="6"/>
  <c r="B345" i="6"/>
  <c r="D345" i="6"/>
  <c r="F345" i="6"/>
  <c r="G345" i="6"/>
  <c r="T345" i="6" s="1"/>
  <c r="R345" i="6"/>
  <c r="S345" i="6"/>
  <c r="AF345" i="6"/>
  <c r="AG345" i="6"/>
  <c r="B346" i="6"/>
  <c r="D346" i="6"/>
  <c r="F346" i="6"/>
  <c r="G346" i="6"/>
  <c r="T346" i="6" s="1"/>
  <c r="R346" i="6"/>
  <c r="S346" i="6"/>
  <c r="AF346" i="6"/>
  <c r="AG346" i="6"/>
  <c r="B347" i="6"/>
  <c r="D347" i="6"/>
  <c r="F347" i="6"/>
  <c r="G347" i="6"/>
  <c r="T347" i="6" s="1"/>
  <c r="R347" i="6"/>
  <c r="S347" i="6"/>
  <c r="AF347" i="6"/>
  <c r="AG347" i="6"/>
  <c r="B348" i="6"/>
  <c r="D348" i="6"/>
  <c r="F348" i="6"/>
  <c r="G348" i="6"/>
  <c r="T348" i="6" s="1"/>
  <c r="R348" i="6"/>
  <c r="S348" i="6"/>
  <c r="AF348" i="6"/>
  <c r="AG348" i="6"/>
  <c r="B349" i="6"/>
  <c r="D349" i="6"/>
  <c r="F349" i="6"/>
  <c r="G349" i="6"/>
  <c r="T349" i="6" s="1"/>
  <c r="R349" i="6"/>
  <c r="S349" i="6"/>
  <c r="AF349" i="6"/>
  <c r="AG349" i="6"/>
  <c r="B350" i="6"/>
  <c r="D350" i="6"/>
  <c r="F350" i="6"/>
  <c r="G350" i="6"/>
  <c r="T350" i="6" s="1"/>
  <c r="R350" i="6"/>
  <c r="S350" i="6"/>
  <c r="AF350" i="6"/>
  <c r="AG350" i="6"/>
  <c r="B351" i="6"/>
  <c r="D351" i="6"/>
  <c r="F351" i="6"/>
  <c r="G351" i="6"/>
  <c r="T351" i="6" s="1"/>
  <c r="R351" i="6"/>
  <c r="S351" i="6"/>
  <c r="AF351" i="6"/>
  <c r="AG351" i="6"/>
  <c r="B352" i="6"/>
  <c r="D352" i="6"/>
  <c r="F352" i="6"/>
  <c r="G352" i="6"/>
  <c r="T352" i="6" s="1"/>
  <c r="R352" i="6"/>
  <c r="S352" i="6"/>
  <c r="AF352" i="6"/>
  <c r="AG352" i="6"/>
  <c r="B353" i="6"/>
  <c r="D353" i="6"/>
  <c r="F353" i="6"/>
  <c r="G353" i="6"/>
  <c r="T353" i="6" s="1"/>
  <c r="R353" i="6"/>
  <c r="S353" i="6"/>
  <c r="AF353" i="6"/>
  <c r="AG353" i="6"/>
  <c r="B354" i="6"/>
  <c r="D354" i="6"/>
  <c r="F354" i="6"/>
  <c r="G354" i="6"/>
  <c r="T354" i="6" s="1"/>
  <c r="R354" i="6"/>
  <c r="S354" i="6"/>
  <c r="AF354" i="6"/>
  <c r="AG354" i="6"/>
  <c r="B355" i="6"/>
  <c r="D355" i="6"/>
  <c r="F355" i="6"/>
  <c r="G355" i="6"/>
  <c r="T355" i="6" s="1"/>
  <c r="R355" i="6"/>
  <c r="S355" i="6"/>
  <c r="AF355" i="6"/>
  <c r="AG355" i="6"/>
  <c r="B356" i="6"/>
  <c r="D356" i="6"/>
  <c r="F356" i="6"/>
  <c r="G356" i="6"/>
  <c r="T356" i="6" s="1"/>
  <c r="R356" i="6"/>
  <c r="S356" i="6"/>
  <c r="AF356" i="6"/>
  <c r="AG356" i="6"/>
  <c r="B357" i="6"/>
  <c r="D357" i="6"/>
  <c r="F357" i="6"/>
  <c r="G357" i="6"/>
  <c r="T357" i="6" s="1"/>
  <c r="R357" i="6"/>
  <c r="S357" i="6"/>
  <c r="AF357" i="6"/>
  <c r="AG357" i="6"/>
  <c r="B358" i="6"/>
  <c r="D358" i="6"/>
  <c r="F358" i="6"/>
  <c r="G358" i="6"/>
  <c r="T358" i="6" s="1"/>
  <c r="R358" i="6"/>
  <c r="S358" i="6"/>
  <c r="AF358" i="6"/>
  <c r="AG358" i="6"/>
  <c r="B359" i="6"/>
  <c r="D359" i="6"/>
  <c r="F359" i="6"/>
  <c r="G359" i="6"/>
  <c r="T359" i="6" s="1"/>
  <c r="R359" i="6"/>
  <c r="S359" i="6"/>
  <c r="AF359" i="6"/>
  <c r="AG359" i="6"/>
  <c r="B360" i="6"/>
  <c r="D360" i="6"/>
  <c r="F360" i="6"/>
  <c r="G360" i="6"/>
  <c r="T360" i="6" s="1"/>
  <c r="R360" i="6"/>
  <c r="S360" i="6"/>
  <c r="AF360" i="6"/>
  <c r="AG360" i="6"/>
  <c r="B361" i="6"/>
  <c r="D361" i="6"/>
  <c r="F361" i="6"/>
  <c r="G361" i="6"/>
  <c r="T361" i="6" s="1"/>
  <c r="R361" i="6"/>
  <c r="S361" i="6"/>
  <c r="AF361" i="6"/>
  <c r="AG361" i="6"/>
  <c r="B362" i="6"/>
  <c r="D362" i="6"/>
  <c r="F362" i="6"/>
  <c r="G362" i="6"/>
  <c r="T362" i="6" s="1"/>
  <c r="R362" i="6"/>
  <c r="S362" i="6"/>
  <c r="AF362" i="6"/>
  <c r="AG362" i="6"/>
  <c r="B363" i="6"/>
  <c r="D363" i="6"/>
  <c r="F363" i="6"/>
  <c r="G363" i="6"/>
  <c r="T363" i="6" s="1"/>
  <c r="R363" i="6"/>
  <c r="S363" i="6"/>
  <c r="AF363" i="6"/>
  <c r="AG363" i="6"/>
  <c r="B364" i="6"/>
  <c r="D364" i="6"/>
  <c r="F364" i="6"/>
  <c r="G364" i="6"/>
  <c r="T364" i="6" s="1"/>
  <c r="R364" i="6"/>
  <c r="S364" i="6"/>
  <c r="AF364" i="6"/>
  <c r="AG364" i="6"/>
  <c r="B365" i="6"/>
  <c r="D365" i="6"/>
  <c r="F365" i="6"/>
  <c r="G365" i="6"/>
  <c r="T365" i="6" s="1"/>
  <c r="R365" i="6"/>
  <c r="S365" i="6"/>
  <c r="AF365" i="6"/>
  <c r="AG365" i="6"/>
  <c r="B366" i="6"/>
  <c r="D366" i="6"/>
  <c r="F366" i="6"/>
  <c r="G366" i="6"/>
  <c r="T366" i="6" s="1"/>
  <c r="R366" i="6"/>
  <c r="S366" i="6"/>
  <c r="AF366" i="6"/>
  <c r="AG366" i="6"/>
  <c r="B367" i="6"/>
  <c r="D367" i="6"/>
  <c r="F367" i="6"/>
  <c r="G367" i="6"/>
  <c r="T367" i="6" s="1"/>
  <c r="R367" i="6"/>
  <c r="S367" i="6"/>
  <c r="AF367" i="6"/>
  <c r="AG367" i="6"/>
  <c r="B368" i="6"/>
  <c r="D368" i="6"/>
  <c r="F368" i="6"/>
  <c r="G368" i="6"/>
  <c r="T368" i="6" s="1"/>
  <c r="R368" i="6"/>
  <c r="S368" i="6"/>
  <c r="AF368" i="6"/>
  <c r="AG368" i="6"/>
  <c r="B369" i="6"/>
  <c r="D369" i="6"/>
  <c r="F369" i="6"/>
  <c r="G369" i="6"/>
  <c r="T369" i="6" s="1"/>
  <c r="R369" i="6"/>
  <c r="S369" i="6"/>
  <c r="AF369" i="6"/>
  <c r="AG369" i="6"/>
  <c r="B370" i="6"/>
  <c r="D370" i="6"/>
  <c r="F370" i="6"/>
  <c r="G370" i="6"/>
  <c r="T370" i="6" s="1"/>
  <c r="R370" i="6"/>
  <c r="S370" i="6"/>
  <c r="AF370" i="6"/>
  <c r="AG370" i="6"/>
  <c r="B371" i="6"/>
  <c r="D371" i="6"/>
  <c r="F371" i="6"/>
  <c r="G371" i="6"/>
  <c r="T371" i="6" s="1"/>
  <c r="R371" i="6"/>
  <c r="S371" i="6"/>
  <c r="AF371" i="6"/>
  <c r="AG371" i="6"/>
  <c r="B372" i="6"/>
  <c r="D372" i="6"/>
  <c r="F372" i="6"/>
  <c r="G372" i="6"/>
  <c r="T372" i="6" s="1"/>
  <c r="R372" i="6"/>
  <c r="S372" i="6"/>
  <c r="AF372" i="6"/>
  <c r="AG372" i="6"/>
  <c r="B373" i="6"/>
  <c r="D373" i="6"/>
  <c r="F373" i="6"/>
  <c r="G373" i="6"/>
  <c r="T373" i="6" s="1"/>
  <c r="R373" i="6"/>
  <c r="S373" i="6"/>
  <c r="AF373" i="6"/>
  <c r="AG373" i="6"/>
  <c r="B374" i="6"/>
  <c r="D374" i="6"/>
  <c r="F374" i="6"/>
  <c r="G374" i="6"/>
  <c r="T374" i="6" s="1"/>
  <c r="R374" i="6"/>
  <c r="S374" i="6"/>
  <c r="AF374" i="6"/>
  <c r="AG374" i="6"/>
  <c r="B375" i="6"/>
  <c r="D375" i="6"/>
  <c r="F375" i="6"/>
  <c r="G375" i="6"/>
  <c r="T375" i="6" s="1"/>
  <c r="R375" i="6"/>
  <c r="S375" i="6"/>
  <c r="AF375" i="6"/>
  <c r="AG375" i="6"/>
  <c r="B376" i="6"/>
  <c r="D376" i="6"/>
  <c r="F376" i="6"/>
  <c r="G376" i="6"/>
  <c r="T376" i="6" s="1"/>
  <c r="R376" i="6"/>
  <c r="S376" i="6"/>
  <c r="AF376" i="6"/>
  <c r="AG376" i="6"/>
  <c r="B377" i="6"/>
  <c r="D377" i="6"/>
  <c r="F377" i="6"/>
  <c r="G377" i="6"/>
  <c r="T377" i="6" s="1"/>
  <c r="R377" i="6"/>
  <c r="S377" i="6"/>
  <c r="AF377" i="6"/>
  <c r="AG377" i="6"/>
  <c r="B378" i="6"/>
  <c r="D378" i="6"/>
  <c r="F378" i="6"/>
  <c r="G378" i="6"/>
  <c r="T378" i="6" s="1"/>
  <c r="R378" i="6"/>
  <c r="S378" i="6"/>
  <c r="AF378" i="6"/>
  <c r="AG378" i="6"/>
  <c r="B379" i="6"/>
  <c r="D379" i="6"/>
  <c r="F379" i="6"/>
  <c r="G379" i="6"/>
  <c r="T379" i="6" s="1"/>
  <c r="R379" i="6"/>
  <c r="S379" i="6"/>
  <c r="AF379" i="6"/>
  <c r="AG379" i="6"/>
  <c r="B380" i="6"/>
  <c r="D380" i="6"/>
  <c r="F380" i="6"/>
  <c r="G380" i="6"/>
  <c r="T380" i="6" s="1"/>
  <c r="R380" i="6"/>
  <c r="S380" i="6"/>
  <c r="AF380" i="6"/>
  <c r="AG380" i="6"/>
  <c r="B381" i="6"/>
  <c r="D381" i="6"/>
  <c r="F381" i="6"/>
  <c r="G381" i="6"/>
  <c r="T381" i="6" s="1"/>
  <c r="R381" i="6"/>
  <c r="S381" i="6"/>
  <c r="AF381" i="6"/>
  <c r="AG381" i="6"/>
  <c r="B382" i="6"/>
  <c r="D382" i="6"/>
  <c r="F382" i="6"/>
  <c r="G382" i="6"/>
  <c r="T382" i="6" s="1"/>
  <c r="R382" i="6"/>
  <c r="S382" i="6"/>
  <c r="AF382" i="6"/>
  <c r="AG382" i="6"/>
  <c r="B383" i="6"/>
  <c r="D383" i="6"/>
  <c r="F383" i="6"/>
  <c r="G383" i="6"/>
  <c r="T383" i="6" s="1"/>
  <c r="R383" i="6"/>
  <c r="S383" i="6"/>
  <c r="AF383" i="6"/>
  <c r="AG383" i="6"/>
  <c r="B384" i="6"/>
  <c r="D384" i="6"/>
  <c r="F384" i="6"/>
  <c r="G384" i="6"/>
  <c r="T384" i="6" s="1"/>
  <c r="R384" i="6"/>
  <c r="S384" i="6"/>
  <c r="AF384" i="6"/>
  <c r="AG384" i="6"/>
  <c r="B385" i="6"/>
  <c r="D385" i="6"/>
  <c r="F385" i="6"/>
  <c r="G385" i="6"/>
  <c r="T385" i="6" s="1"/>
  <c r="R385" i="6"/>
  <c r="S385" i="6"/>
  <c r="AF385" i="6"/>
  <c r="AG385" i="6"/>
  <c r="B386" i="6"/>
  <c r="D386" i="6"/>
  <c r="F386" i="6"/>
  <c r="G386" i="6"/>
  <c r="T386" i="6" s="1"/>
  <c r="R386" i="6"/>
  <c r="S386" i="6"/>
  <c r="AF386" i="6"/>
  <c r="AG386" i="6"/>
  <c r="B387" i="6"/>
  <c r="D387" i="6"/>
  <c r="F387" i="6"/>
  <c r="G387" i="6"/>
  <c r="T387" i="6" s="1"/>
  <c r="R387" i="6"/>
  <c r="S387" i="6"/>
  <c r="AF387" i="6"/>
  <c r="AG387" i="6"/>
  <c r="B388" i="6"/>
  <c r="D388" i="6"/>
  <c r="F388" i="6"/>
  <c r="G388" i="6"/>
  <c r="T388" i="6" s="1"/>
  <c r="R388" i="6"/>
  <c r="S388" i="6"/>
  <c r="AF388" i="6"/>
  <c r="AG388" i="6"/>
  <c r="B389" i="6"/>
  <c r="D389" i="6"/>
  <c r="F389" i="6"/>
  <c r="G389" i="6"/>
  <c r="T389" i="6" s="1"/>
  <c r="R389" i="6"/>
  <c r="S389" i="6"/>
  <c r="AF389" i="6"/>
  <c r="AG389" i="6"/>
  <c r="B390" i="6"/>
  <c r="D390" i="6"/>
  <c r="F390" i="6"/>
  <c r="G390" i="6"/>
  <c r="T390" i="6" s="1"/>
  <c r="R390" i="6"/>
  <c r="S390" i="6"/>
  <c r="AF390" i="6"/>
  <c r="AG390" i="6"/>
  <c r="B391" i="6"/>
  <c r="D391" i="6"/>
  <c r="F391" i="6"/>
  <c r="G391" i="6"/>
  <c r="T391" i="6" s="1"/>
  <c r="R391" i="6"/>
  <c r="S391" i="6"/>
  <c r="AF391" i="6"/>
  <c r="AG391" i="6"/>
  <c r="B392" i="6"/>
  <c r="D392" i="6"/>
  <c r="F392" i="6"/>
  <c r="G392" i="6"/>
  <c r="T392" i="6" s="1"/>
  <c r="R392" i="6"/>
  <c r="S392" i="6"/>
  <c r="AF392" i="6"/>
  <c r="AG392" i="6"/>
  <c r="B393" i="6"/>
  <c r="D393" i="6"/>
  <c r="F393" i="6"/>
  <c r="G393" i="6"/>
  <c r="T393" i="6" s="1"/>
  <c r="R393" i="6"/>
  <c r="S393" i="6"/>
  <c r="AF393" i="6"/>
  <c r="AG393" i="6"/>
  <c r="B394" i="6"/>
  <c r="D394" i="6"/>
  <c r="F394" i="6"/>
  <c r="G394" i="6"/>
  <c r="T394" i="6" s="1"/>
  <c r="R394" i="6"/>
  <c r="S394" i="6"/>
  <c r="AF394" i="6"/>
  <c r="AG394" i="6"/>
  <c r="B395" i="6"/>
  <c r="D395" i="6"/>
  <c r="F395" i="6"/>
  <c r="G395" i="6"/>
  <c r="T395" i="6" s="1"/>
  <c r="R395" i="6"/>
  <c r="S395" i="6"/>
  <c r="AF395" i="6"/>
  <c r="AG395" i="6"/>
  <c r="B396" i="6"/>
  <c r="D396" i="6"/>
  <c r="F396" i="6"/>
  <c r="G396" i="6"/>
  <c r="T396" i="6" s="1"/>
  <c r="R396" i="6"/>
  <c r="S396" i="6"/>
  <c r="AF396" i="6"/>
  <c r="AG396" i="6"/>
  <c r="B397" i="6"/>
  <c r="D397" i="6"/>
  <c r="F397" i="6"/>
  <c r="G397" i="6"/>
  <c r="T397" i="6" s="1"/>
  <c r="R397" i="6"/>
  <c r="S397" i="6"/>
  <c r="AF397" i="6"/>
  <c r="AG397" i="6"/>
  <c r="B398" i="6"/>
  <c r="D398" i="6"/>
  <c r="F398" i="6"/>
  <c r="G398" i="6"/>
  <c r="T398" i="6" s="1"/>
  <c r="R398" i="6"/>
  <c r="S398" i="6"/>
  <c r="AF398" i="6"/>
  <c r="AG398" i="6"/>
  <c r="B399" i="6"/>
  <c r="D399" i="6"/>
  <c r="F399" i="6"/>
  <c r="G399" i="6"/>
  <c r="T399" i="6" s="1"/>
  <c r="R399" i="6"/>
  <c r="S399" i="6"/>
  <c r="AF399" i="6"/>
  <c r="AG399" i="6"/>
  <c r="B400" i="6"/>
  <c r="D400" i="6"/>
  <c r="F400" i="6"/>
  <c r="G400" i="6"/>
  <c r="T400" i="6" s="1"/>
  <c r="R400" i="6"/>
  <c r="S400" i="6"/>
  <c r="AF400" i="6"/>
  <c r="AG400" i="6"/>
  <c r="B401" i="6"/>
  <c r="D401" i="6"/>
  <c r="F401" i="6"/>
  <c r="G401" i="6"/>
  <c r="T401" i="6" s="1"/>
  <c r="R401" i="6"/>
  <c r="S401" i="6"/>
  <c r="AF401" i="6"/>
  <c r="AG401" i="6"/>
  <c r="B402" i="6"/>
  <c r="D402" i="6"/>
  <c r="F402" i="6"/>
  <c r="G402" i="6"/>
  <c r="T402" i="6" s="1"/>
  <c r="R402" i="6"/>
  <c r="S402" i="6"/>
  <c r="AF402" i="6"/>
  <c r="AG402" i="6"/>
  <c r="B403" i="6"/>
  <c r="D403" i="6"/>
  <c r="F403" i="6"/>
  <c r="G403" i="6"/>
  <c r="T403" i="6" s="1"/>
  <c r="R403" i="6"/>
  <c r="S403" i="6"/>
  <c r="AF403" i="6"/>
  <c r="AG403" i="6"/>
  <c r="B404" i="6"/>
  <c r="D404" i="6"/>
  <c r="F404" i="6"/>
  <c r="G404" i="6"/>
  <c r="T404" i="6" s="1"/>
  <c r="R404" i="6"/>
  <c r="S404" i="6"/>
  <c r="AF404" i="6"/>
  <c r="AG404" i="6"/>
  <c r="B405" i="6"/>
  <c r="D405" i="6"/>
  <c r="F405" i="6"/>
  <c r="G405" i="6"/>
  <c r="T405" i="6" s="1"/>
  <c r="R405" i="6"/>
  <c r="S405" i="6"/>
  <c r="AF405" i="6"/>
  <c r="AG405" i="6"/>
  <c r="B406" i="6"/>
  <c r="D406" i="6"/>
  <c r="F406" i="6"/>
  <c r="G406" i="6"/>
  <c r="T406" i="6" s="1"/>
  <c r="R406" i="6"/>
  <c r="S406" i="6"/>
  <c r="AF406" i="6"/>
  <c r="AG406" i="6"/>
  <c r="B407" i="6"/>
  <c r="D407" i="6"/>
  <c r="F407" i="6"/>
  <c r="G407" i="6"/>
  <c r="T407" i="6" s="1"/>
  <c r="R407" i="6"/>
  <c r="S407" i="6"/>
  <c r="AF407" i="6"/>
  <c r="AG407" i="6"/>
  <c r="B408" i="6"/>
  <c r="D408" i="6"/>
  <c r="F408" i="6"/>
  <c r="G408" i="6"/>
  <c r="T408" i="6" s="1"/>
  <c r="R408" i="6"/>
  <c r="S408" i="6"/>
  <c r="AF408" i="6"/>
  <c r="AG408" i="6"/>
  <c r="B409" i="6"/>
  <c r="D409" i="6"/>
  <c r="F409" i="6"/>
  <c r="G409" i="6"/>
  <c r="T409" i="6" s="1"/>
  <c r="R409" i="6"/>
  <c r="S409" i="6"/>
  <c r="AF409" i="6"/>
  <c r="AG409" i="6"/>
  <c r="B410" i="6"/>
  <c r="D410" i="6"/>
  <c r="F410" i="6"/>
  <c r="G410" i="6"/>
  <c r="T410" i="6" s="1"/>
  <c r="R410" i="6"/>
  <c r="S410" i="6"/>
  <c r="AF410" i="6"/>
  <c r="AG410" i="6"/>
  <c r="B411" i="6"/>
  <c r="D411" i="6"/>
  <c r="F411" i="6"/>
  <c r="G411" i="6"/>
  <c r="T411" i="6" s="1"/>
  <c r="R411" i="6"/>
  <c r="S411" i="6"/>
  <c r="AF411" i="6"/>
  <c r="AG411" i="6"/>
  <c r="B412" i="6"/>
  <c r="D412" i="6"/>
  <c r="F412" i="6"/>
  <c r="G412" i="6"/>
  <c r="T412" i="6" s="1"/>
  <c r="R412" i="6"/>
  <c r="S412" i="6"/>
  <c r="AF412" i="6"/>
  <c r="AG412" i="6"/>
  <c r="B413" i="6"/>
  <c r="D413" i="6"/>
  <c r="F413" i="6"/>
  <c r="G413" i="6"/>
  <c r="T413" i="6" s="1"/>
  <c r="R413" i="6"/>
  <c r="S413" i="6"/>
  <c r="AF413" i="6"/>
  <c r="AG413" i="6"/>
  <c r="B414" i="6"/>
  <c r="D414" i="6"/>
  <c r="F414" i="6"/>
  <c r="G414" i="6"/>
  <c r="T414" i="6" s="1"/>
  <c r="R414" i="6"/>
  <c r="S414" i="6"/>
  <c r="AF414" i="6"/>
  <c r="AG414" i="6"/>
  <c r="B415" i="6"/>
  <c r="D415" i="6"/>
  <c r="F415" i="6"/>
  <c r="G415" i="6"/>
  <c r="T415" i="6" s="1"/>
  <c r="R415" i="6"/>
  <c r="S415" i="6"/>
  <c r="AF415" i="6"/>
  <c r="AG415" i="6"/>
  <c r="B416" i="6"/>
  <c r="D416" i="6"/>
  <c r="F416" i="6"/>
  <c r="G416" i="6"/>
  <c r="T416" i="6" s="1"/>
  <c r="R416" i="6"/>
  <c r="S416" i="6"/>
  <c r="AF416" i="6"/>
  <c r="AG416" i="6"/>
  <c r="B417" i="6"/>
  <c r="D417" i="6"/>
  <c r="F417" i="6"/>
  <c r="G417" i="6"/>
  <c r="T417" i="6" s="1"/>
  <c r="R417" i="6"/>
  <c r="S417" i="6"/>
  <c r="AF417" i="6"/>
  <c r="AG417" i="6"/>
  <c r="B418" i="6"/>
  <c r="D418" i="6"/>
  <c r="F418" i="6"/>
  <c r="G418" i="6"/>
  <c r="T418" i="6" s="1"/>
  <c r="R418" i="6"/>
  <c r="S418" i="6"/>
  <c r="AF418" i="6"/>
  <c r="AG418" i="6"/>
  <c r="B419" i="6"/>
  <c r="D419" i="6"/>
  <c r="F419" i="6"/>
  <c r="G419" i="6"/>
  <c r="T419" i="6" s="1"/>
  <c r="R419" i="6"/>
  <c r="S419" i="6"/>
  <c r="AF419" i="6"/>
  <c r="AG419" i="6"/>
  <c r="B420" i="6"/>
  <c r="D420" i="6"/>
  <c r="F420" i="6"/>
  <c r="G420" i="6"/>
  <c r="T420" i="6" s="1"/>
  <c r="R420" i="6"/>
  <c r="S420" i="6"/>
  <c r="AF420" i="6"/>
  <c r="AG420" i="6"/>
  <c r="B421" i="6"/>
  <c r="D421" i="6"/>
  <c r="F421" i="6"/>
  <c r="G421" i="6"/>
  <c r="T421" i="6" s="1"/>
  <c r="R421" i="6"/>
  <c r="S421" i="6"/>
  <c r="AF421" i="6"/>
  <c r="AG421" i="6"/>
  <c r="B422" i="6"/>
  <c r="D422" i="6"/>
  <c r="F422" i="6"/>
  <c r="G422" i="6"/>
  <c r="T422" i="6" s="1"/>
  <c r="R422" i="6"/>
  <c r="S422" i="6"/>
  <c r="AF422" i="6"/>
  <c r="AG422" i="6"/>
  <c r="B423" i="6"/>
  <c r="D423" i="6"/>
  <c r="F423" i="6"/>
  <c r="G423" i="6"/>
  <c r="T423" i="6" s="1"/>
  <c r="R423" i="6"/>
  <c r="S423" i="6"/>
  <c r="AF423" i="6"/>
  <c r="AG423" i="6"/>
  <c r="B424" i="6"/>
  <c r="D424" i="6"/>
  <c r="F424" i="6"/>
  <c r="G424" i="6"/>
  <c r="T424" i="6" s="1"/>
  <c r="R424" i="6"/>
  <c r="S424" i="6"/>
  <c r="AF424" i="6"/>
  <c r="AG424" i="6"/>
  <c r="B425" i="6"/>
  <c r="D425" i="6"/>
  <c r="F425" i="6"/>
  <c r="G425" i="6"/>
  <c r="T425" i="6" s="1"/>
  <c r="R425" i="6"/>
  <c r="S425" i="6"/>
  <c r="AF425" i="6"/>
  <c r="AG425" i="6"/>
  <c r="B426" i="6"/>
  <c r="D426" i="6"/>
  <c r="F426" i="6"/>
  <c r="G426" i="6"/>
  <c r="T426" i="6" s="1"/>
  <c r="R426" i="6"/>
  <c r="S426" i="6"/>
  <c r="AF426" i="6"/>
  <c r="AG426" i="6"/>
  <c r="B427" i="6"/>
  <c r="D427" i="6"/>
  <c r="F427" i="6"/>
  <c r="G427" i="6"/>
  <c r="T427" i="6" s="1"/>
  <c r="R427" i="6"/>
  <c r="S427" i="6"/>
  <c r="AF427" i="6"/>
  <c r="AG427" i="6"/>
  <c r="B428" i="6"/>
  <c r="D428" i="6"/>
  <c r="F428" i="6"/>
  <c r="G428" i="6"/>
  <c r="T428" i="6" s="1"/>
  <c r="R428" i="6"/>
  <c r="S428" i="6"/>
  <c r="AF428" i="6"/>
  <c r="AG428" i="6"/>
  <c r="B429" i="6"/>
  <c r="D429" i="6"/>
  <c r="F429" i="6"/>
  <c r="G429" i="6"/>
  <c r="T429" i="6" s="1"/>
  <c r="R429" i="6"/>
  <c r="S429" i="6"/>
  <c r="AF429" i="6"/>
  <c r="AG429" i="6"/>
  <c r="B430" i="6"/>
  <c r="D430" i="6"/>
  <c r="F430" i="6"/>
  <c r="G430" i="6"/>
  <c r="T430" i="6" s="1"/>
  <c r="R430" i="6"/>
  <c r="S430" i="6"/>
  <c r="AF430" i="6"/>
  <c r="AG430" i="6"/>
  <c r="B431" i="6"/>
  <c r="D431" i="6"/>
  <c r="F431" i="6"/>
  <c r="G431" i="6"/>
  <c r="T431" i="6" s="1"/>
  <c r="R431" i="6"/>
  <c r="S431" i="6"/>
  <c r="AF431" i="6"/>
  <c r="AG431" i="6"/>
  <c r="B432" i="6"/>
  <c r="D432" i="6"/>
  <c r="F432" i="6"/>
  <c r="G432" i="6"/>
  <c r="T432" i="6" s="1"/>
  <c r="R432" i="6"/>
  <c r="S432" i="6"/>
  <c r="AF432" i="6"/>
  <c r="AG432" i="6"/>
  <c r="B433" i="6"/>
  <c r="D433" i="6"/>
  <c r="F433" i="6"/>
  <c r="G433" i="6"/>
  <c r="T433" i="6" s="1"/>
  <c r="R433" i="6"/>
  <c r="S433" i="6"/>
  <c r="AF433" i="6"/>
  <c r="AG433" i="6"/>
  <c r="B434" i="6"/>
  <c r="D434" i="6"/>
  <c r="F434" i="6"/>
  <c r="G434" i="6"/>
  <c r="T434" i="6" s="1"/>
  <c r="R434" i="6"/>
  <c r="S434" i="6"/>
  <c r="AF434" i="6"/>
  <c r="AG434" i="6"/>
  <c r="B435" i="6"/>
  <c r="D435" i="6"/>
  <c r="F435" i="6"/>
  <c r="G435" i="6"/>
  <c r="T435" i="6" s="1"/>
  <c r="R435" i="6"/>
  <c r="S435" i="6"/>
  <c r="AF435" i="6"/>
  <c r="AG435" i="6"/>
  <c r="B436" i="6"/>
  <c r="D436" i="6"/>
  <c r="F436" i="6"/>
  <c r="G436" i="6"/>
  <c r="T436" i="6" s="1"/>
  <c r="R436" i="6"/>
  <c r="S436" i="6"/>
  <c r="AF436" i="6"/>
  <c r="AG436" i="6"/>
  <c r="B437" i="6"/>
  <c r="D437" i="6"/>
  <c r="F437" i="6"/>
  <c r="G437" i="6"/>
  <c r="T437" i="6" s="1"/>
  <c r="R437" i="6"/>
  <c r="S437" i="6"/>
  <c r="AF437" i="6"/>
  <c r="AG437" i="6"/>
  <c r="B438" i="6"/>
  <c r="D438" i="6"/>
  <c r="F438" i="6"/>
  <c r="G438" i="6"/>
  <c r="T438" i="6" s="1"/>
  <c r="R438" i="6"/>
  <c r="S438" i="6"/>
  <c r="AF438" i="6"/>
  <c r="AG438" i="6"/>
  <c r="B439" i="6"/>
  <c r="D439" i="6"/>
  <c r="F439" i="6"/>
  <c r="G439" i="6"/>
  <c r="T439" i="6" s="1"/>
  <c r="R439" i="6"/>
  <c r="S439" i="6"/>
  <c r="AF439" i="6"/>
  <c r="AG439" i="6"/>
  <c r="B440" i="6"/>
  <c r="D440" i="6"/>
  <c r="F440" i="6"/>
  <c r="G440" i="6"/>
  <c r="T440" i="6" s="1"/>
  <c r="R440" i="6"/>
  <c r="S440" i="6"/>
  <c r="AF440" i="6"/>
  <c r="AG440" i="6"/>
  <c r="B441" i="6"/>
  <c r="D441" i="6"/>
  <c r="F441" i="6"/>
  <c r="G441" i="6"/>
  <c r="T441" i="6" s="1"/>
  <c r="R441" i="6"/>
  <c r="S441" i="6"/>
  <c r="AF441" i="6"/>
  <c r="AG441" i="6"/>
  <c r="B442" i="6"/>
  <c r="D442" i="6"/>
  <c r="F442" i="6"/>
  <c r="G442" i="6"/>
  <c r="T442" i="6" s="1"/>
  <c r="R442" i="6"/>
  <c r="S442" i="6"/>
  <c r="AF442" i="6"/>
  <c r="AG442" i="6"/>
  <c r="B443" i="6"/>
  <c r="D443" i="6"/>
  <c r="F443" i="6"/>
  <c r="G443" i="6"/>
  <c r="T443" i="6" s="1"/>
  <c r="R443" i="6"/>
  <c r="S443" i="6"/>
  <c r="AF443" i="6"/>
  <c r="AG443" i="6"/>
  <c r="B444" i="6"/>
  <c r="D444" i="6"/>
  <c r="F444" i="6"/>
  <c r="G444" i="6"/>
  <c r="T444" i="6" s="1"/>
  <c r="R444" i="6"/>
  <c r="S444" i="6"/>
  <c r="AF444" i="6"/>
  <c r="AG444" i="6"/>
  <c r="B445" i="6"/>
  <c r="D445" i="6"/>
  <c r="F445" i="6"/>
  <c r="G445" i="6"/>
  <c r="T445" i="6" s="1"/>
  <c r="R445" i="6"/>
  <c r="S445" i="6"/>
  <c r="AF445" i="6"/>
  <c r="AG445" i="6"/>
  <c r="B446" i="6"/>
  <c r="D446" i="6"/>
  <c r="F446" i="6"/>
  <c r="G446" i="6"/>
  <c r="T446" i="6" s="1"/>
  <c r="R446" i="6"/>
  <c r="S446" i="6"/>
  <c r="AF446" i="6"/>
  <c r="AG446" i="6"/>
  <c r="B447" i="6"/>
  <c r="D447" i="6"/>
  <c r="F447" i="6"/>
  <c r="G447" i="6"/>
  <c r="T447" i="6" s="1"/>
  <c r="R447" i="6"/>
  <c r="S447" i="6"/>
  <c r="AF447" i="6"/>
  <c r="AG447" i="6"/>
  <c r="B448" i="6"/>
  <c r="D448" i="6"/>
  <c r="F448" i="6"/>
  <c r="G448" i="6"/>
  <c r="T448" i="6" s="1"/>
  <c r="R448" i="6"/>
  <c r="S448" i="6"/>
  <c r="AF448" i="6"/>
  <c r="AG448" i="6"/>
  <c r="B449" i="6"/>
  <c r="D449" i="6"/>
  <c r="F449" i="6"/>
  <c r="G449" i="6"/>
  <c r="T449" i="6" s="1"/>
  <c r="R449" i="6"/>
  <c r="S449" i="6"/>
  <c r="AF449" i="6"/>
  <c r="AG449" i="6"/>
  <c r="B450" i="6"/>
  <c r="D450" i="6"/>
  <c r="F450" i="6"/>
  <c r="G450" i="6"/>
  <c r="T450" i="6" s="1"/>
  <c r="R450" i="6"/>
  <c r="S450" i="6"/>
  <c r="AF450" i="6"/>
  <c r="AG450" i="6"/>
  <c r="B451" i="6"/>
  <c r="D451" i="6"/>
  <c r="F451" i="6"/>
  <c r="G451" i="6"/>
  <c r="T451" i="6" s="1"/>
  <c r="R451" i="6"/>
  <c r="S451" i="6"/>
  <c r="AF451" i="6"/>
  <c r="AG451" i="6"/>
  <c r="B452" i="6"/>
  <c r="D452" i="6"/>
  <c r="F452" i="6"/>
  <c r="G452" i="6"/>
  <c r="T452" i="6" s="1"/>
  <c r="R452" i="6"/>
  <c r="S452" i="6"/>
  <c r="AF452" i="6"/>
  <c r="AG452" i="6"/>
  <c r="B453" i="6"/>
  <c r="D453" i="6"/>
  <c r="F453" i="6"/>
  <c r="G453" i="6"/>
  <c r="T453" i="6" s="1"/>
  <c r="R453" i="6"/>
  <c r="S453" i="6"/>
  <c r="AF453" i="6"/>
  <c r="AG453" i="6"/>
  <c r="B454" i="6"/>
  <c r="D454" i="6"/>
  <c r="F454" i="6"/>
  <c r="G454" i="6"/>
  <c r="T454" i="6" s="1"/>
  <c r="R454" i="6"/>
  <c r="S454" i="6"/>
  <c r="AF454" i="6"/>
  <c r="AG454" i="6"/>
  <c r="B455" i="6"/>
  <c r="D455" i="6"/>
  <c r="F455" i="6"/>
  <c r="G455" i="6"/>
  <c r="T455" i="6" s="1"/>
  <c r="R455" i="6"/>
  <c r="S455" i="6"/>
  <c r="AF455" i="6"/>
  <c r="AG455" i="6"/>
  <c r="B456" i="6"/>
  <c r="D456" i="6"/>
  <c r="F456" i="6"/>
  <c r="G456" i="6"/>
  <c r="T456" i="6" s="1"/>
  <c r="R456" i="6"/>
  <c r="S456" i="6"/>
  <c r="AF456" i="6"/>
  <c r="AG456" i="6"/>
  <c r="B457" i="6"/>
  <c r="D457" i="6"/>
  <c r="F457" i="6"/>
  <c r="G457" i="6"/>
  <c r="T457" i="6" s="1"/>
  <c r="R457" i="6"/>
  <c r="S457" i="6"/>
  <c r="AF457" i="6"/>
  <c r="AG457" i="6"/>
  <c r="B458" i="6"/>
  <c r="D458" i="6"/>
  <c r="F458" i="6"/>
  <c r="G458" i="6"/>
  <c r="T458" i="6" s="1"/>
  <c r="R458" i="6"/>
  <c r="S458" i="6"/>
  <c r="AF458" i="6"/>
  <c r="AG458" i="6"/>
  <c r="B459" i="6"/>
  <c r="D459" i="6"/>
  <c r="F459" i="6"/>
  <c r="G459" i="6"/>
  <c r="T459" i="6" s="1"/>
  <c r="R459" i="6"/>
  <c r="S459" i="6"/>
  <c r="AF459" i="6"/>
  <c r="AG459" i="6"/>
  <c r="B460" i="6"/>
  <c r="D460" i="6"/>
  <c r="F460" i="6"/>
  <c r="G460" i="6"/>
  <c r="T460" i="6" s="1"/>
  <c r="R460" i="6"/>
  <c r="S460" i="6"/>
  <c r="AF460" i="6"/>
  <c r="AG460" i="6"/>
  <c r="B461" i="6"/>
  <c r="D461" i="6"/>
  <c r="F461" i="6"/>
  <c r="G461" i="6"/>
  <c r="T461" i="6" s="1"/>
  <c r="R461" i="6"/>
  <c r="S461" i="6"/>
  <c r="AF461" i="6"/>
  <c r="AG461" i="6"/>
  <c r="B462" i="6"/>
  <c r="D462" i="6"/>
  <c r="F462" i="6"/>
  <c r="G462" i="6"/>
  <c r="T462" i="6" s="1"/>
  <c r="R462" i="6"/>
  <c r="S462" i="6"/>
  <c r="AF462" i="6"/>
  <c r="AG462" i="6"/>
  <c r="B463" i="6"/>
  <c r="D463" i="6"/>
  <c r="F463" i="6"/>
  <c r="G463" i="6"/>
  <c r="T463" i="6" s="1"/>
  <c r="R463" i="6"/>
  <c r="S463" i="6"/>
  <c r="AF463" i="6"/>
  <c r="AG463" i="6"/>
  <c r="B464" i="6"/>
  <c r="D464" i="6"/>
  <c r="F464" i="6"/>
  <c r="G464" i="6"/>
  <c r="T464" i="6" s="1"/>
  <c r="R464" i="6"/>
  <c r="S464" i="6"/>
  <c r="AF464" i="6"/>
  <c r="AG464" i="6"/>
  <c r="B465" i="6"/>
  <c r="D465" i="6"/>
  <c r="F465" i="6"/>
  <c r="G465" i="6"/>
  <c r="T465" i="6" s="1"/>
  <c r="R465" i="6"/>
  <c r="S465" i="6"/>
  <c r="AF465" i="6"/>
  <c r="AG465" i="6"/>
  <c r="B466" i="6"/>
  <c r="D466" i="6"/>
  <c r="F466" i="6"/>
  <c r="G466" i="6"/>
  <c r="T466" i="6" s="1"/>
  <c r="R466" i="6"/>
  <c r="S466" i="6"/>
  <c r="AF466" i="6"/>
  <c r="AG466" i="6"/>
  <c r="B467" i="6"/>
  <c r="D467" i="6"/>
  <c r="F467" i="6"/>
  <c r="G467" i="6"/>
  <c r="T467" i="6" s="1"/>
  <c r="R467" i="6"/>
  <c r="S467" i="6"/>
  <c r="AF467" i="6"/>
  <c r="AG467" i="6"/>
  <c r="B468" i="6"/>
  <c r="D468" i="6"/>
  <c r="F468" i="6"/>
  <c r="G468" i="6"/>
  <c r="T468" i="6" s="1"/>
  <c r="R468" i="6"/>
  <c r="S468" i="6"/>
  <c r="AF468" i="6"/>
  <c r="AG468" i="6"/>
  <c r="B469" i="6"/>
  <c r="D469" i="6"/>
  <c r="F469" i="6"/>
  <c r="G469" i="6"/>
  <c r="T469" i="6" s="1"/>
  <c r="R469" i="6"/>
  <c r="S469" i="6"/>
  <c r="AF469" i="6"/>
  <c r="AG469" i="6"/>
  <c r="B470" i="6"/>
  <c r="D470" i="6"/>
  <c r="F470" i="6"/>
  <c r="G470" i="6"/>
  <c r="T470" i="6" s="1"/>
  <c r="R470" i="6"/>
  <c r="S470" i="6"/>
  <c r="AF470" i="6"/>
  <c r="AG470" i="6"/>
  <c r="B471" i="6"/>
  <c r="D471" i="6"/>
  <c r="F471" i="6"/>
  <c r="G471" i="6"/>
  <c r="T471" i="6" s="1"/>
  <c r="R471" i="6"/>
  <c r="S471" i="6"/>
  <c r="AF471" i="6"/>
  <c r="AG471" i="6"/>
  <c r="B472" i="6"/>
  <c r="D472" i="6"/>
  <c r="F472" i="6"/>
  <c r="G472" i="6"/>
  <c r="T472" i="6" s="1"/>
  <c r="R472" i="6"/>
  <c r="S472" i="6"/>
  <c r="AF472" i="6"/>
  <c r="AG472" i="6"/>
  <c r="B473" i="6"/>
  <c r="D473" i="6"/>
  <c r="F473" i="6"/>
  <c r="G473" i="6"/>
  <c r="T473" i="6" s="1"/>
  <c r="R473" i="6"/>
  <c r="S473" i="6"/>
  <c r="AF473" i="6"/>
  <c r="AG473" i="6"/>
  <c r="B474" i="6"/>
  <c r="D474" i="6"/>
  <c r="F474" i="6"/>
  <c r="G474" i="6"/>
  <c r="T474" i="6" s="1"/>
  <c r="R474" i="6"/>
  <c r="S474" i="6"/>
  <c r="AF474" i="6"/>
  <c r="AG474" i="6"/>
  <c r="B475" i="6"/>
  <c r="D475" i="6"/>
  <c r="F475" i="6"/>
  <c r="G475" i="6"/>
  <c r="T475" i="6" s="1"/>
  <c r="R475" i="6"/>
  <c r="S475" i="6"/>
  <c r="AF475" i="6"/>
  <c r="AG475" i="6"/>
  <c r="B476" i="6"/>
  <c r="D476" i="6"/>
  <c r="F476" i="6"/>
  <c r="G476" i="6"/>
  <c r="T476" i="6" s="1"/>
  <c r="R476" i="6"/>
  <c r="S476" i="6"/>
  <c r="AF476" i="6"/>
  <c r="AG476" i="6"/>
  <c r="B477" i="6"/>
  <c r="D477" i="6"/>
  <c r="F477" i="6"/>
  <c r="G477" i="6"/>
  <c r="T477" i="6" s="1"/>
  <c r="R477" i="6"/>
  <c r="S477" i="6"/>
  <c r="AF477" i="6"/>
  <c r="AG477" i="6"/>
  <c r="B478" i="6"/>
  <c r="D478" i="6"/>
  <c r="F478" i="6"/>
  <c r="G478" i="6"/>
  <c r="T478" i="6" s="1"/>
  <c r="R478" i="6"/>
  <c r="S478" i="6"/>
  <c r="AF478" i="6"/>
  <c r="AG478" i="6"/>
  <c r="B479" i="6"/>
  <c r="D479" i="6"/>
  <c r="F479" i="6"/>
  <c r="G479" i="6"/>
  <c r="T479" i="6" s="1"/>
  <c r="R479" i="6"/>
  <c r="S479" i="6"/>
  <c r="AF479" i="6"/>
  <c r="AG479" i="6"/>
  <c r="B480" i="6"/>
  <c r="D480" i="6"/>
  <c r="F480" i="6"/>
  <c r="G480" i="6"/>
  <c r="T480" i="6" s="1"/>
  <c r="R480" i="6"/>
  <c r="S480" i="6"/>
  <c r="AF480" i="6"/>
  <c r="AG480" i="6"/>
  <c r="B481" i="6"/>
  <c r="D481" i="6"/>
  <c r="F481" i="6"/>
  <c r="G481" i="6"/>
  <c r="T481" i="6" s="1"/>
  <c r="R481" i="6"/>
  <c r="S481" i="6"/>
  <c r="AF481" i="6"/>
  <c r="AG481" i="6"/>
  <c r="B482" i="6"/>
  <c r="D482" i="6"/>
  <c r="F482" i="6"/>
  <c r="G482" i="6"/>
  <c r="T482" i="6" s="1"/>
  <c r="R482" i="6"/>
  <c r="S482" i="6"/>
  <c r="AF482" i="6"/>
  <c r="AG482" i="6"/>
  <c r="B483" i="6"/>
  <c r="D483" i="6"/>
  <c r="F483" i="6"/>
  <c r="G483" i="6"/>
  <c r="T483" i="6" s="1"/>
  <c r="R483" i="6"/>
  <c r="S483" i="6"/>
  <c r="AF483" i="6"/>
  <c r="AG483" i="6"/>
  <c r="B484" i="6"/>
  <c r="D484" i="6"/>
  <c r="F484" i="6"/>
  <c r="G484" i="6"/>
  <c r="T484" i="6" s="1"/>
  <c r="R484" i="6"/>
  <c r="S484" i="6"/>
  <c r="AF484" i="6"/>
  <c r="AG484" i="6"/>
  <c r="B485" i="6"/>
  <c r="D485" i="6"/>
  <c r="F485" i="6"/>
  <c r="G485" i="6"/>
  <c r="T485" i="6" s="1"/>
  <c r="R485" i="6"/>
  <c r="S485" i="6"/>
  <c r="AF485" i="6"/>
  <c r="AG485" i="6"/>
  <c r="B486" i="6"/>
  <c r="D486" i="6"/>
  <c r="F486" i="6"/>
  <c r="G486" i="6"/>
  <c r="T486" i="6" s="1"/>
  <c r="R486" i="6"/>
  <c r="S486" i="6"/>
  <c r="AF486" i="6"/>
  <c r="AG486" i="6"/>
  <c r="B487" i="6"/>
  <c r="D487" i="6"/>
  <c r="F487" i="6"/>
  <c r="G487" i="6"/>
  <c r="T487" i="6" s="1"/>
  <c r="R487" i="6"/>
  <c r="S487" i="6"/>
  <c r="AF487" i="6"/>
  <c r="AG487" i="6"/>
  <c r="B488" i="6"/>
  <c r="D488" i="6"/>
  <c r="F488" i="6"/>
  <c r="G488" i="6"/>
  <c r="T488" i="6" s="1"/>
  <c r="R488" i="6"/>
  <c r="S488" i="6"/>
  <c r="AF488" i="6"/>
  <c r="AG488" i="6"/>
  <c r="B489" i="6"/>
  <c r="D489" i="6"/>
  <c r="F489" i="6"/>
  <c r="G489" i="6"/>
  <c r="T489" i="6" s="1"/>
  <c r="R489" i="6"/>
  <c r="S489" i="6"/>
  <c r="AF489" i="6"/>
  <c r="AG489" i="6"/>
  <c r="B490" i="6"/>
  <c r="D490" i="6"/>
  <c r="F490" i="6"/>
  <c r="G490" i="6"/>
  <c r="T490" i="6" s="1"/>
  <c r="R490" i="6"/>
  <c r="S490" i="6"/>
  <c r="AF490" i="6"/>
  <c r="AG490" i="6"/>
  <c r="B491" i="6"/>
  <c r="D491" i="6"/>
  <c r="F491" i="6"/>
  <c r="G491" i="6"/>
  <c r="T491" i="6" s="1"/>
  <c r="R491" i="6"/>
  <c r="S491" i="6"/>
  <c r="AF491" i="6"/>
  <c r="AG491" i="6"/>
  <c r="B492" i="6"/>
  <c r="D492" i="6"/>
  <c r="F492" i="6"/>
  <c r="G492" i="6"/>
  <c r="T492" i="6" s="1"/>
  <c r="R492" i="6"/>
  <c r="S492" i="6"/>
  <c r="AF492" i="6"/>
  <c r="AG492" i="6"/>
  <c r="B493" i="6"/>
  <c r="D493" i="6"/>
  <c r="F493" i="6"/>
  <c r="G493" i="6"/>
  <c r="T493" i="6" s="1"/>
  <c r="R493" i="6"/>
  <c r="S493" i="6"/>
  <c r="AF493" i="6"/>
  <c r="AG493" i="6"/>
  <c r="B494" i="6"/>
  <c r="D494" i="6"/>
  <c r="F494" i="6"/>
  <c r="G494" i="6"/>
  <c r="T494" i="6" s="1"/>
  <c r="R494" i="6"/>
  <c r="S494" i="6"/>
  <c r="AF494" i="6"/>
  <c r="AG494" i="6"/>
  <c r="B495" i="6"/>
  <c r="D495" i="6"/>
  <c r="F495" i="6"/>
  <c r="G495" i="6"/>
  <c r="T495" i="6" s="1"/>
  <c r="R495" i="6"/>
  <c r="S495" i="6"/>
  <c r="AF495" i="6"/>
  <c r="AG495" i="6"/>
  <c r="B496" i="6"/>
  <c r="D496" i="6"/>
  <c r="F496" i="6"/>
  <c r="G496" i="6"/>
  <c r="T496" i="6" s="1"/>
  <c r="R496" i="6"/>
  <c r="S496" i="6"/>
  <c r="AF496" i="6"/>
  <c r="AG496" i="6"/>
  <c r="B497" i="6"/>
  <c r="D497" i="6"/>
  <c r="F497" i="6"/>
  <c r="G497" i="6"/>
  <c r="T497" i="6" s="1"/>
  <c r="R497" i="6"/>
  <c r="S497" i="6"/>
  <c r="AF497" i="6"/>
  <c r="AG497" i="6"/>
  <c r="B498" i="6"/>
  <c r="D498" i="6"/>
  <c r="F498" i="6"/>
  <c r="G498" i="6"/>
  <c r="T498" i="6" s="1"/>
  <c r="R498" i="6"/>
  <c r="S498" i="6"/>
  <c r="AF498" i="6"/>
  <c r="AG498" i="6"/>
  <c r="B499" i="6"/>
  <c r="D499" i="6"/>
  <c r="F499" i="6"/>
  <c r="G499" i="6"/>
  <c r="T499" i="6" s="1"/>
  <c r="R499" i="6"/>
  <c r="S499" i="6"/>
  <c r="AF499" i="6"/>
  <c r="AG499" i="6"/>
  <c r="B500" i="6"/>
  <c r="D500" i="6"/>
  <c r="F500" i="6"/>
  <c r="G500" i="6"/>
  <c r="T500" i="6" s="1"/>
  <c r="R500" i="6"/>
  <c r="S500" i="6"/>
  <c r="AF500" i="6"/>
  <c r="AG500" i="6"/>
  <c r="B501" i="6"/>
  <c r="D501" i="6"/>
  <c r="F501" i="6"/>
  <c r="G501" i="6"/>
  <c r="T501" i="6" s="1"/>
  <c r="R501" i="6"/>
  <c r="S501" i="6"/>
  <c r="AF501" i="6"/>
  <c r="AG501" i="6"/>
  <c r="B502" i="6"/>
  <c r="D502" i="6"/>
  <c r="F502" i="6"/>
  <c r="G502" i="6"/>
  <c r="T502" i="6" s="1"/>
  <c r="R502" i="6"/>
  <c r="S502" i="6"/>
  <c r="AF502" i="6"/>
  <c r="AG502" i="6"/>
  <c r="B503" i="6"/>
  <c r="D503" i="6"/>
  <c r="F503" i="6"/>
  <c r="G503" i="6"/>
  <c r="T503" i="6" s="1"/>
  <c r="R503" i="6"/>
  <c r="S503" i="6"/>
  <c r="AF503" i="6"/>
  <c r="AG503" i="6"/>
  <c r="B504" i="6"/>
  <c r="D504" i="6"/>
  <c r="F504" i="6"/>
  <c r="G504" i="6"/>
  <c r="T504" i="6" s="1"/>
  <c r="R504" i="6"/>
  <c r="S504" i="6"/>
  <c r="AF504" i="6"/>
  <c r="AG504" i="6"/>
  <c r="B505" i="6"/>
  <c r="D505" i="6"/>
  <c r="F505" i="6"/>
  <c r="G505" i="6"/>
  <c r="T505" i="6" s="1"/>
  <c r="R505" i="6"/>
  <c r="S505" i="6"/>
  <c r="AF505" i="6"/>
  <c r="AG505" i="6"/>
  <c r="B506" i="6"/>
  <c r="D506" i="6"/>
  <c r="F506" i="6"/>
  <c r="G506" i="6"/>
  <c r="T506" i="6" s="1"/>
  <c r="R506" i="6"/>
  <c r="S506" i="6"/>
  <c r="AF506" i="6"/>
  <c r="AG506" i="6"/>
  <c r="B507" i="6"/>
  <c r="D507" i="6"/>
  <c r="F507" i="6"/>
  <c r="G507" i="6"/>
  <c r="T507" i="6" s="1"/>
  <c r="R507" i="6"/>
  <c r="S507" i="6"/>
  <c r="AF507" i="6"/>
  <c r="AG507" i="6"/>
  <c r="B508" i="6"/>
  <c r="D508" i="6"/>
  <c r="F508" i="6"/>
  <c r="G508" i="6"/>
  <c r="T508" i="6" s="1"/>
  <c r="R508" i="6"/>
  <c r="S508" i="6"/>
  <c r="AF508" i="6"/>
  <c r="AG508" i="6"/>
  <c r="B509" i="6"/>
  <c r="D509" i="6"/>
  <c r="F509" i="6"/>
  <c r="G509" i="6"/>
  <c r="T509" i="6" s="1"/>
  <c r="R509" i="6"/>
  <c r="S509" i="6"/>
  <c r="AF509" i="6"/>
  <c r="AG509" i="6"/>
  <c r="B510" i="6"/>
  <c r="D510" i="6"/>
  <c r="F510" i="6"/>
  <c r="G510" i="6"/>
  <c r="T510" i="6" s="1"/>
  <c r="R510" i="6"/>
  <c r="S510" i="6"/>
  <c r="AF510" i="6"/>
  <c r="AG510" i="6"/>
  <c r="B511" i="6"/>
  <c r="D511" i="6"/>
  <c r="F511" i="6"/>
  <c r="G511" i="6"/>
  <c r="T511" i="6" s="1"/>
  <c r="R511" i="6"/>
  <c r="S511" i="6"/>
  <c r="AF511" i="6"/>
  <c r="AG511" i="6"/>
  <c r="B512" i="6"/>
  <c r="D512" i="6"/>
  <c r="F512" i="6"/>
  <c r="G512" i="6"/>
  <c r="T512" i="6" s="1"/>
  <c r="R512" i="6"/>
  <c r="S512" i="6"/>
  <c r="AF512" i="6"/>
  <c r="AG512" i="6"/>
  <c r="B513" i="6"/>
  <c r="D513" i="6"/>
  <c r="F513" i="6"/>
  <c r="G513" i="6"/>
  <c r="T513" i="6" s="1"/>
  <c r="R513" i="6"/>
  <c r="S513" i="6"/>
  <c r="AF513" i="6"/>
  <c r="AG513" i="6"/>
  <c r="B514" i="6"/>
  <c r="D514" i="6"/>
  <c r="F514" i="6"/>
  <c r="G514" i="6"/>
  <c r="T514" i="6" s="1"/>
  <c r="R514" i="6"/>
  <c r="S514" i="6"/>
  <c r="AF514" i="6"/>
  <c r="AG514" i="6"/>
  <c r="B515" i="6"/>
  <c r="D515" i="6"/>
  <c r="F515" i="6"/>
  <c r="G515" i="6"/>
  <c r="T515" i="6" s="1"/>
  <c r="R515" i="6"/>
  <c r="S515" i="6"/>
  <c r="AF515" i="6"/>
  <c r="AG515" i="6"/>
  <c r="B516" i="6"/>
  <c r="D516" i="6"/>
  <c r="F516" i="6"/>
  <c r="G516" i="6"/>
  <c r="T516" i="6" s="1"/>
  <c r="R516" i="6"/>
  <c r="S516" i="6"/>
  <c r="AF516" i="6"/>
  <c r="AG516" i="6"/>
  <c r="AF517" i="6"/>
  <c r="AG517" i="6" s="1"/>
  <c r="AF518" i="6"/>
  <c r="AG518" i="6"/>
  <c r="AF519" i="6"/>
  <c r="AG519" i="6" s="1"/>
  <c r="AF520" i="6"/>
  <c r="AG520" i="6" s="1"/>
  <c r="AF521" i="6"/>
  <c r="AG521" i="6" s="1"/>
  <c r="AF522" i="6"/>
  <c r="AG522" i="6" s="1"/>
  <c r="AF523" i="6"/>
  <c r="AG523" i="6" s="1"/>
  <c r="AF524" i="6"/>
  <c r="AG524" i="6"/>
  <c r="AF525" i="6"/>
  <c r="AG525" i="6"/>
  <c r="AF526" i="6"/>
  <c r="AG526" i="6" s="1"/>
  <c r="AF527" i="6"/>
  <c r="AG527" i="6"/>
  <c r="AF528" i="6"/>
  <c r="AG528" i="6" s="1"/>
  <c r="AF529" i="6"/>
  <c r="AG529" i="6" s="1"/>
  <c r="AF530" i="6"/>
  <c r="AG530" i="6" s="1"/>
  <c r="AF531" i="6"/>
  <c r="AG531" i="6"/>
  <c r="AF532" i="6"/>
  <c r="AG532" i="6" s="1"/>
  <c r="AF533" i="6"/>
  <c r="AG533" i="6" s="1"/>
  <c r="AF534" i="6"/>
  <c r="AG534" i="6"/>
  <c r="AF535" i="6"/>
  <c r="AG535" i="6" s="1"/>
  <c r="AF536" i="6"/>
  <c r="AG536" i="6"/>
  <c r="AF537" i="6"/>
  <c r="AG537" i="6" s="1"/>
  <c r="AF538" i="6"/>
  <c r="AG538" i="6" s="1"/>
  <c r="AF539" i="6"/>
  <c r="AG539" i="6" s="1"/>
  <c r="AF540" i="6"/>
  <c r="AG540" i="6" s="1"/>
  <c r="AF541" i="6"/>
  <c r="AG541" i="6" s="1"/>
  <c r="AF542" i="6"/>
  <c r="AG542" i="6" s="1"/>
  <c r="AF543" i="6"/>
  <c r="AG543" i="6"/>
  <c r="AF544" i="6"/>
  <c r="AG544" i="6" s="1"/>
  <c r="AF545" i="6"/>
  <c r="AG545" i="6"/>
  <c r="AF546" i="6"/>
  <c r="AG546" i="6" s="1"/>
  <c r="AF547" i="6"/>
  <c r="AG547" i="6" s="1"/>
  <c r="AF548" i="6"/>
  <c r="AG548" i="6" s="1"/>
  <c r="AF549" i="6"/>
  <c r="AG549" i="6" s="1"/>
  <c r="AF550" i="6"/>
  <c r="AG550" i="6" s="1"/>
  <c r="AF551" i="6"/>
  <c r="AG551" i="6" s="1"/>
  <c r="AF552" i="6"/>
  <c r="AG552" i="6"/>
  <c r="AF553" i="6"/>
  <c r="AG553" i="6" s="1"/>
  <c r="AF554" i="6"/>
  <c r="AG554" i="6"/>
  <c r="AF555" i="6"/>
  <c r="AG555" i="6" s="1"/>
  <c r="AF556" i="6"/>
  <c r="AG556" i="6" s="1"/>
  <c r="AF557" i="6"/>
  <c r="AG557" i="6" s="1"/>
  <c r="AF558" i="6"/>
  <c r="AG558" i="6" s="1"/>
  <c r="AF559" i="6"/>
  <c r="AG559" i="6" s="1"/>
  <c r="AF560" i="6"/>
  <c r="AG560" i="6"/>
  <c r="AF561" i="6"/>
  <c r="AG561" i="6"/>
  <c r="AF562" i="6"/>
  <c r="AG562" i="6" s="1"/>
  <c r="AF563" i="6"/>
  <c r="AG563" i="6"/>
  <c r="AF564" i="6"/>
  <c r="AG564" i="6" s="1"/>
  <c r="AF565" i="6"/>
  <c r="AG565" i="6" s="1"/>
  <c r="AF566" i="6"/>
  <c r="AG566" i="6" s="1"/>
  <c r="AF567" i="6"/>
  <c r="AG567" i="6"/>
  <c r="AF568" i="6"/>
  <c r="AG568" i="6" s="1"/>
  <c r="AF569" i="6"/>
  <c r="AG569" i="6" s="1"/>
  <c r="AF570" i="6"/>
  <c r="AG570" i="6"/>
  <c r="AF571" i="6"/>
  <c r="AG571" i="6" s="1"/>
  <c r="AF572" i="6"/>
  <c r="AG572" i="6"/>
  <c r="AF573" i="6"/>
  <c r="AG573" i="6" s="1"/>
  <c r="AF574" i="6"/>
  <c r="AG574" i="6" s="1"/>
  <c r="AF575" i="6"/>
  <c r="AG575" i="6" s="1"/>
  <c r="AF576" i="6"/>
  <c r="AG576" i="6" s="1"/>
  <c r="AF577" i="6"/>
  <c r="AG577" i="6" s="1"/>
  <c r="AF578" i="6"/>
  <c r="AG578" i="6" s="1"/>
  <c r="AF579" i="6"/>
  <c r="AG579" i="6"/>
  <c r="AF580" i="6"/>
  <c r="AG580" i="6" s="1"/>
  <c r="AF581" i="6"/>
  <c r="AG581" i="6"/>
  <c r="AF582" i="6"/>
  <c r="AG582" i="6"/>
  <c r="AF583" i="6"/>
  <c r="AG583" i="6" s="1"/>
  <c r="AF584" i="6"/>
  <c r="AG584" i="6" s="1"/>
  <c r="AF585" i="6"/>
  <c r="AG585" i="6"/>
  <c r="AF586" i="6"/>
  <c r="AG586" i="6" s="1"/>
  <c r="AF587" i="6"/>
  <c r="AG587" i="6"/>
  <c r="AF588" i="6"/>
  <c r="AG588" i="6"/>
  <c r="AF589" i="6"/>
  <c r="AG589" i="6" s="1"/>
  <c r="AF590" i="6"/>
  <c r="AG590" i="6"/>
  <c r="AF591" i="6"/>
  <c r="AG591" i="6" s="1"/>
  <c r="AF592" i="6"/>
  <c r="AG592" i="6" s="1"/>
  <c r="AF593" i="6"/>
  <c r="AG593" i="6" s="1"/>
  <c r="AF594" i="6"/>
  <c r="AG594" i="6" s="1"/>
  <c r="AF595" i="6"/>
  <c r="AG595" i="6" s="1"/>
  <c r="AF596" i="6"/>
  <c r="AG596" i="6" s="1"/>
  <c r="AF597" i="6"/>
  <c r="AG597" i="6"/>
  <c r="AF598" i="6"/>
  <c r="AG598" i="6" s="1"/>
  <c r="AF599" i="6"/>
  <c r="AG599" i="6"/>
  <c r="AF600" i="6"/>
  <c r="AG600" i="6" s="1"/>
  <c r="AF601" i="6"/>
  <c r="AG601" i="6" s="1"/>
  <c r="AF602" i="6"/>
  <c r="AG602" i="6" s="1"/>
  <c r="AF603" i="6"/>
  <c r="AG603" i="6"/>
  <c r="AF604" i="6"/>
  <c r="AG604" i="6" s="1"/>
  <c r="AF605" i="6"/>
  <c r="AG605" i="6" s="1"/>
  <c r="AF606" i="6"/>
  <c r="AG606" i="6"/>
  <c r="AF607" i="6"/>
  <c r="AG607" i="6" s="1"/>
  <c r="AF608" i="6"/>
  <c r="AG608" i="6"/>
  <c r="AF609" i="6"/>
  <c r="AG609" i="6" s="1"/>
  <c r="AF610" i="6"/>
  <c r="AG610" i="6" s="1"/>
  <c r="AF611" i="6"/>
  <c r="AG611" i="6" s="1"/>
  <c r="AF612" i="6"/>
  <c r="AG612" i="6" s="1"/>
  <c r="AF613" i="6"/>
  <c r="AG613" i="6" s="1"/>
  <c r="AF614" i="6"/>
  <c r="AG614" i="6"/>
  <c r="AF615" i="6"/>
  <c r="AG615" i="6"/>
  <c r="AF616" i="6"/>
  <c r="AG616" i="6" s="1"/>
  <c r="AF617" i="6"/>
  <c r="AG617" i="6"/>
  <c r="AF618" i="6"/>
  <c r="AG618" i="6"/>
  <c r="AF619" i="6"/>
  <c r="AG619" i="6" s="1"/>
  <c r="AF620" i="6"/>
  <c r="AG620" i="6" s="1"/>
  <c r="AF621" i="6"/>
  <c r="AG621" i="6" s="1"/>
  <c r="AF622" i="6"/>
  <c r="AG622" i="6" s="1"/>
  <c r="AF623" i="6"/>
  <c r="AG623" i="6" s="1"/>
  <c r="AF624" i="6"/>
  <c r="AG624" i="6"/>
  <c r="AF625" i="6"/>
  <c r="AG625" i="6" s="1"/>
  <c r="AF626" i="6"/>
  <c r="AG626" i="6"/>
  <c r="AF627" i="6"/>
  <c r="AG627" i="6" s="1"/>
  <c r="AF628" i="6"/>
  <c r="AG628" i="6" s="1"/>
  <c r="AF629" i="6"/>
  <c r="AG629" i="6" s="1"/>
  <c r="AF630" i="6"/>
  <c r="AG630" i="6"/>
  <c r="AF631" i="6"/>
  <c r="AG631" i="6" s="1"/>
  <c r="AF632" i="6"/>
  <c r="AG632" i="6"/>
  <c r="AF633" i="6"/>
  <c r="AG633" i="6"/>
  <c r="AF634" i="6"/>
  <c r="AG634" i="6" s="1"/>
  <c r="AF635" i="6"/>
  <c r="AG635" i="6"/>
  <c r="AF636" i="6"/>
  <c r="AG636" i="6" s="1"/>
  <c r="AF637" i="6"/>
  <c r="AG637" i="6" s="1"/>
  <c r="AF638" i="6"/>
  <c r="AG638" i="6" s="1"/>
  <c r="AF639" i="6"/>
  <c r="AG639" i="6"/>
  <c r="AF640" i="6"/>
  <c r="AG640" i="6" s="1"/>
  <c r="AF641" i="6"/>
  <c r="AG641" i="6" s="1"/>
  <c r="AF642" i="6"/>
  <c r="AG642" i="6"/>
  <c r="AF643" i="6"/>
  <c r="AG643" i="6" s="1"/>
  <c r="AF644" i="6"/>
  <c r="AG644" i="6"/>
  <c r="AF645" i="6"/>
  <c r="AG645" i="6" s="1"/>
  <c r="AF646" i="6"/>
  <c r="AG646" i="6" s="1"/>
  <c r="AF647" i="6"/>
  <c r="AG647" i="6"/>
  <c r="AF648" i="6"/>
  <c r="AG648" i="6"/>
  <c r="AF649" i="6"/>
  <c r="AG649" i="6" s="1"/>
  <c r="AF650" i="6"/>
  <c r="AG650" i="6" s="1"/>
  <c r="AF651" i="6"/>
  <c r="AG651" i="6"/>
  <c r="AF652" i="6"/>
  <c r="AG652" i="6" s="1"/>
  <c r="AF653" i="6"/>
  <c r="AG653" i="6"/>
  <c r="AF654" i="6"/>
  <c r="AG654" i="6"/>
  <c r="AF655" i="6"/>
  <c r="AG655" i="6" s="1"/>
  <c r="AF656" i="6"/>
  <c r="AG656" i="6" s="1"/>
  <c r="AF657" i="6"/>
  <c r="AG657" i="6"/>
  <c r="AF658" i="6"/>
  <c r="AG658" i="6" s="1"/>
  <c r="AF659" i="6"/>
  <c r="AG659" i="6" s="1"/>
  <c r="AF660" i="6"/>
  <c r="AG660" i="6"/>
  <c r="AF661" i="6"/>
  <c r="AG661" i="6" s="1"/>
  <c r="AF662" i="6"/>
  <c r="AG662" i="6"/>
  <c r="AF663" i="6"/>
  <c r="AG663" i="6" s="1"/>
  <c r="AF664" i="6"/>
  <c r="AG664" i="6" s="1"/>
  <c r="AF665" i="6"/>
  <c r="AG665" i="6" s="1"/>
  <c r="AF666" i="6"/>
  <c r="AG666" i="6" s="1"/>
  <c r="AF667" i="6"/>
  <c r="AG667" i="6" s="1"/>
  <c r="AF668" i="6"/>
  <c r="AG668" i="6"/>
  <c r="AF669" i="6"/>
  <c r="AG669" i="6" s="1"/>
  <c r="AF670" i="6"/>
  <c r="AG670" i="6" s="1"/>
  <c r="AF671" i="6"/>
  <c r="AG671" i="6"/>
  <c r="AF672" i="6"/>
  <c r="AG672" i="6" s="1"/>
  <c r="AF673" i="6"/>
  <c r="AG673" i="6" s="1"/>
  <c r="AF674" i="6"/>
  <c r="AG674" i="6" s="1"/>
  <c r="AF675" i="6"/>
  <c r="AG675" i="6"/>
  <c r="AF676" i="6"/>
  <c r="AG676" i="6" s="1"/>
  <c r="AF677" i="6"/>
  <c r="AG677" i="6"/>
  <c r="AF678" i="6"/>
  <c r="AG678" i="6"/>
  <c r="AF679" i="6"/>
  <c r="AG679" i="6" s="1"/>
  <c r="AF680" i="6"/>
  <c r="AG680" i="6"/>
  <c r="AF681" i="6"/>
  <c r="AG681" i="6" s="1"/>
  <c r="AF682" i="6"/>
  <c r="AG682" i="6" s="1"/>
  <c r="AF683" i="6"/>
  <c r="AG683" i="6"/>
  <c r="AF684" i="6"/>
  <c r="AG684" i="6"/>
  <c r="AF685" i="6"/>
  <c r="AG685" i="6" s="1"/>
  <c r="AF686" i="6"/>
  <c r="AG686" i="6"/>
  <c r="AF687" i="6"/>
  <c r="AG687" i="6"/>
  <c r="AF688" i="6"/>
  <c r="AG688" i="6" s="1"/>
  <c r="AF689" i="6"/>
  <c r="AG689" i="6"/>
  <c r="AF690" i="6"/>
  <c r="AG690" i="6"/>
  <c r="AF691" i="6"/>
  <c r="AG691" i="6" s="1"/>
  <c r="AF692" i="6"/>
  <c r="AG692" i="6" s="1"/>
  <c r="AF693" i="6"/>
  <c r="AG693" i="6" s="1"/>
  <c r="AF694" i="6"/>
  <c r="AG694" i="6" s="1"/>
  <c r="AF695" i="6"/>
  <c r="AG695" i="6" s="1"/>
  <c r="AF696" i="6"/>
  <c r="AG696" i="6"/>
  <c r="AF697" i="6"/>
  <c r="AG697" i="6" s="1"/>
  <c r="AF698" i="6"/>
  <c r="AG698" i="6"/>
  <c r="AF699" i="6"/>
  <c r="AG699" i="6" s="1"/>
  <c r="AF700" i="6"/>
  <c r="AG700" i="6" s="1"/>
  <c r="AF701" i="6"/>
  <c r="AG701" i="6" s="1"/>
  <c r="AF702" i="6"/>
  <c r="AG702" i="6"/>
  <c r="AF703" i="6"/>
  <c r="AG703" i="6" s="1"/>
  <c r="AF704" i="6"/>
  <c r="AG704" i="6"/>
  <c r="AF705" i="6"/>
  <c r="AG705" i="6"/>
  <c r="AF706" i="6"/>
  <c r="AG706" i="6" s="1"/>
  <c r="AF707" i="6"/>
  <c r="AG707" i="6"/>
  <c r="AF708" i="6"/>
  <c r="AG708" i="6" s="1"/>
  <c r="AF709" i="6"/>
  <c r="AG709" i="6" s="1"/>
  <c r="AF710" i="6"/>
  <c r="AG710" i="6" s="1"/>
  <c r="AF711" i="6"/>
  <c r="AG711" i="6"/>
  <c r="AF712" i="6"/>
  <c r="AG712" i="6" s="1"/>
  <c r="AF713" i="6"/>
  <c r="AG713" i="6" s="1"/>
  <c r="AF714" i="6"/>
  <c r="AG714" i="6"/>
  <c r="AF715" i="6"/>
  <c r="AG715" i="6" s="1"/>
  <c r="AF716" i="6"/>
  <c r="AG716" i="6"/>
  <c r="AF717" i="6"/>
  <c r="AG717" i="6" s="1"/>
  <c r="AF718" i="6"/>
  <c r="AG718" i="6" s="1"/>
  <c r="AF719" i="6"/>
  <c r="AG719" i="6"/>
  <c r="AF720" i="6"/>
  <c r="AG720" i="6"/>
  <c r="AF721" i="6"/>
  <c r="AG721" i="6" s="1"/>
  <c r="AF722" i="6"/>
  <c r="AG722" i="6" s="1"/>
  <c r="AF723" i="6"/>
  <c r="AG723" i="6"/>
  <c r="AF724" i="6"/>
  <c r="AG724" i="6" s="1"/>
  <c r="AF725" i="6"/>
  <c r="AG725" i="6"/>
  <c r="AF726" i="6"/>
  <c r="AG726" i="6"/>
  <c r="AF727" i="6"/>
  <c r="AG727" i="6" s="1"/>
  <c r="AF728" i="6"/>
  <c r="AG728" i="6" s="1"/>
  <c r="AF729" i="6"/>
  <c r="AG729" i="6"/>
  <c r="AF730" i="6"/>
  <c r="AG730" i="6" s="1"/>
  <c r="AF731" i="6"/>
  <c r="AG731" i="6" s="1"/>
  <c r="AF732" i="6"/>
  <c r="AG732" i="6"/>
  <c r="AF733" i="6"/>
  <c r="AG733" i="6" s="1"/>
  <c r="AF734" i="6"/>
  <c r="AG734" i="6"/>
  <c r="AF735" i="6"/>
  <c r="AG735" i="6" s="1"/>
  <c r="AF736" i="6"/>
  <c r="AG736" i="6" s="1"/>
  <c r="AF737" i="6"/>
  <c r="AG737" i="6" s="1"/>
  <c r="AF738" i="6"/>
  <c r="AG738" i="6" s="1"/>
  <c r="AF739" i="6"/>
  <c r="AG739" i="6" s="1"/>
  <c r="AF740" i="6"/>
  <c r="AG740" i="6"/>
  <c r="AF741" i="6"/>
  <c r="AG741" i="6" s="1"/>
  <c r="AF742" i="6"/>
  <c r="AG742" i="6" s="1"/>
  <c r="AF743" i="6"/>
  <c r="AG743" i="6"/>
  <c r="AF744" i="6"/>
  <c r="AG744" i="6" s="1"/>
  <c r="AF745" i="6"/>
  <c r="AG745" i="6" s="1"/>
  <c r="AF746" i="6"/>
  <c r="AG746" i="6" s="1"/>
  <c r="AF747" i="6"/>
  <c r="AG747" i="6"/>
  <c r="AF748" i="6"/>
  <c r="AG748" i="6" s="1"/>
  <c r="AF749" i="6"/>
  <c r="AG749" i="6"/>
  <c r="AF750" i="6"/>
  <c r="AG750" i="6"/>
  <c r="AF751" i="6"/>
  <c r="AG751" i="6" s="1"/>
  <c r="AF752" i="6"/>
  <c r="AG752" i="6"/>
  <c r="AF753" i="6"/>
  <c r="AG753" i="6" s="1"/>
  <c r="AF754" i="6"/>
  <c r="AG754" i="6" s="1"/>
  <c r="AF755" i="6"/>
  <c r="AG755" i="6"/>
  <c r="AF756" i="6"/>
  <c r="AG756" i="6"/>
  <c r="AF757" i="6"/>
  <c r="AG757" i="6" s="1"/>
  <c r="AF758" i="6"/>
  <c r="AG758" i="6"/>
  <c r="AF759" i="6"/>
  <c r="AG759" i="6"/>
  <c r="AF760" i="6"/>
  <c r="AG760" i="6" s="1"/>
  <c r="AF761" i="6"/>
  <c r="AG761" i="6"/>
  <c r="AF762" i="6"/>
  <c r="AG762" i="6"/>
  <c r="AF763" i="6"/>
  <c r="AG763" i="6" s="1"/>
  <c r="AF764" i="6"/>
  <c r="AG764" i="6" s="1"/>
  <c r="AF765" i="6"/>
  <c r="AG765" i="6" s="1"/>
  <c r="AF766" i="6"/>
  <c r="AG766" i="6" s="1"/>
  <c r="AF767" i="6"/>
  <c r="AG767" i="6" s="1"/>
  <c r="AF768" i="6"/>
  <c r="AG768" i="6"/>
  <c r="AF769" i="6"/>
  <c r="AG769" i="6" s="1"/>
  <c r="AF770" i="6"/>
  <c r="AG770" i="6"/>
  <c r="AF771" i="6"/>
  <c r="AG771" i="6" s="1"/>
  <c r="AF772" i="6"/>
  <c r="AG772" i="6" s="1"/>
  <c r="AF773" i="6"/>
  <c r="AG773" i="6" s="1"/>
  <c r="AF774" i="6"/>
  <c r="AG774" i="6"/>
  <c r="AF775" i="6"/>
  <c r="AG775" i="6" s="1"/>
  <c r="AF776" i="6"/>
  <c r="AG776" i="6"/>
  <c r="AF777" i="6"/>
  <c r="AG777" i="6"/>
  <c r="AF778" i="6"/>
  <c r="AG778" i="6" s="1"/>
  <c r="AF779" i="6"/>
  <c r="AG779" i="6"/>
  <c r="AF780" i="6"/>
  <c r="AG780" i="6" s="1"/>
  <c r="AF781" i="6"/>
  <c r="AG781" i="6" s="1"/>
  <c r="AF782" i="6"/>
  <c r="AG782" i="6" s="1"/>
  <c r="AF783" i="6"/>
  <c r="AG783" i="6"/>
  <c r="AF784" i="6"/>
  <c r="AG784" i="6" s="1"/>
  <c r="AF785" i="6"/>
  <c r="AG785" i="6" s="1"/>
  <c r="AF786" i="6"/>
  <c r="AG786" i="6"/>
  <c r="AF787" i="6"/>
  <c r="AG787" i="6" s="1"/>
  <c r="AF788" i="6"/>
  <c r="AG788" i="6"/>
  <c r="AF789" i="6"/>
  <c r="AG789" i="6" s="1"/>
  <c r="AF790" i="6"/>
  <c r="AG790" i="6" s="1"/>
  <c r="AF791" i="6"/>
  <c r="AG791" i="6"/>
  <c r="AF792" i="6"/>
  <c r="AG792" i="6"/>
  <c r="AF793" i="6"/>
  <c r="AG793" i="6" s="1"/>
  <c r="AF794" i="6"/>
  <c r="AG794" i="6" s="1"/>
  <c r="AF795" i="6"/>
  <c r="AG795" i="6"/>
  <c r="AF796" i="6"/>
  <c r="AG796" i="6" s="1"/>
  <c r="AF797" i="6"/>
  <c r="AG797" i="6"/>
  <c r="AF798" i="6"/>
  <c r="AG798" i="6"/>
  <c r="AF799" i="6"/>
  <c r="AG799" i="6" s="1"/>
  <c r="AF800" i="6"/>
  <c r="AG800" i="6" s="1"/>
  <c r="AF801" i="6"/>
  <c r="AG801" i="6"/>
  <c r="AF802" i="6"/>
  <c r="AG802" i="6" s="1"/>
  <c r="AF803" i="6"/>
  <c r="AG803" i="6" s="1"/>
  <c r="AF804" i="6"/>
  <c r="AG804" i="6"/>
  <c r="AF805" i="6"/>
  <c r="AG805" i="6" s="1"/>
  <c r="AF806" i="6"/>
  <c r="AG806" i="6"/>
  <c r="AF807" i="6"/>
  <c r="AG807" i="6" s="1"/>
  <c r="AF808" i="6"/>
  <c r="AG808" i="6" s="1"/>
  <c r="AF809" i="6"/>
  <c r="AG809" i="6" s="1"/>
  <c r="AF810" i="6"/>
  <c r="AG810" i="6" s="1"/>
  <c r="AF811" i="6"/>
  <c r="AG811" i="6" s="1"/>
  <c r="AF812" i="6"/>
  <c r="AG812" i="6"/>
  <c r="AF813" i="6"/>
  <c r="AG813" i="6" s="1"/>
  <c r="AF814" i="6"/>
  <c r="AG814" i="6" s="1"/>
  <c r="AF815" i="6"/>
  <c r="AG815" i="6"/>
  <c r="AF816" i="6"/>
  <c r="AG816" i="6" s="1"/>
  <c r="AF817" i="6"/>
  <c r="AG817" i="6" s="1"/>
  <c r="AF818" i="6"/>
  <c r="AG818" i="6" s="1"/>
  <c r="AF819" i="6"/>
  <c r="AG819" i="6"/>
  <c r="AF820" i="6"/>
  <c r="AG820" i="6" s="1"/>
  <c r="AF821" i="6"/>
  <c r="AG821" i="6"/>
  <c r="AF822" i="6"/>
  <c r="AG822" i="6"/>
  <c r="AF823" i="6"/>
  <c r="AG823" i="6" s="1"/>
  <c r="AF824" i="6"/>
  <c r="AG824" i="6"/>
  <c r="AF825" i="6"/>
  <c r="AG825" i="6" s="1"/>
  <c r="AF826" i="6"/>
  <c r="AG826" i="6" s="1"/>
  <c r="AF827" i="6"/>
  <c r="AG827" i="6"/>
  <c r="AF828" i="6"/>
  <c r="AG828" i="6"/>
  <c r="AF829" i="6"/>
  <c r="AG829" i="6" s="1"/>
  <c r="AF830" i="6"/>
  <c r="AG830" i="6"/>
  <c r="AF831" i="6"/>
  <c r="AG831" i="6"/>
  <c r="AF832" i="6"/>
  <c r="AG832" i="6" s="1"/>
  <c r="AF833" i="6"/>
  <c r="AG833" i="6"/>
  <c r="AF834" i="6"/>
  <c r="AG834" i="6"/>
  <c r="AF835" i="6"/>
  <c r="AG835" i="6" s="1"/>
  <c r="AF836" i="6"/>
  <c r="AG836" i="6" s="1"/>
  <c r="AF837" i="6"/>
  <c r="AG837" i="6" s="1"/>
  <c r="AF838" i="6"/>
  <c r="AG838" i="6" s="1"/>
  <c r="AF839" i="6"/>
  <c r="AG839" i="6" s="1"/>
  <c r="AF840" i="6"/>
  <c r="AG840" i="6"/>
  <c r="AF841" i="6"/>
  <c r="AG841" i="6" s="1"/>
  <c r="AF842" i="6"/>
  <c r="AG842" i="6"/>
  <c r="AF843" i="6"/>
  <c r="AG843" i="6" s="1"/>
  <c r="AF844" i="6"/>
  <c r="AG844" i="6" s="1"/>
  <c r="AF845" i="6"/>
  <c r="AG845" i="6" s="1"/>
  <c r="AF846" i="6"/>
  <c r="AG846" i="6"/>
  <c r="AF847" i="6"/>
  <c r="AG847" i="6" s="1"/>
  <c r="AF848" i="6"/>
  <c r="AG848" i="6"/>
  <c r="AF849" i="6"/>
  <c r="AG849" i="6"/>
  <c r="AF850" i="6"/>
  <c r="AG850" i="6" s="1"/>
  <c r="AF851" i="6"/>
  <c r="AG851" i="6"/>
  <c r="AF852" i="6"/>
  <c r="AG852" i="6" s="1"/>
  <c r="AF853" i="6"/>
  <c r="AG853" i="6" s="1"/>
  <c r="AF854" i="6"/>
  <c r="AG854" i="6" s="1"/>
  <c r="AF855" i="6"/>
  <c r="AG855" i="6"/>
  <c r="AF856" i="6"/>
  <c r="AG856" i="6" s="1"/>
  <c r="AF857" i="6"/>
  <c r="AG857" i="6" s="1"/>
  <c r="AF858" i="6"/>
  <c r="AG858" i="6"/>
  <c r="AF859" i="6"/>
  <c r="AG859" i="6" s="1"/>
  <c r="AF860" i="6"/>
  <c r="AG860" i="6"/>
  <c r="AF861" i="6"/>
  <c r="AG861" i="6" s="1"/>
  <c r="AF862" i="6"/>
  <c r="AG862" i="6" s="1"/>
  <c r="AF863" i="6"/>
  <c r="AG863" i="6"/>
  <c r="AF864" i="6"/>
  <c r="AG864" i="6"/>
  <c r="AF865" i="6"/>
  <c r="AG865" i="6" s="1"/>
  <c r="AF866" i="6"/>
  <c r="AG866" i="6" s="1"/>
  <c r="AF867" i="6"/>
  <c r="AG867" i="6"/>
  <c r="AF868" i="6"/>
  <c r="AG868" i="6" s="1"/>
  <c r="AF869" i="6"/>
  <c r="AG869" i="6"/>
  <c r="AF870" i="6"/>
  <c r="AG870" i="6"/>
  <c r="AF871" i="6"/>
  <c r="AG871" i="6" s="1"/>
  <c r="AF872" i="6"/>
  <c r="AG872" i="6" s="1"/>
  <c r="AF873" i="6"/>
  <c r="AG873" i="6"/>
  <c r="AF874" i="6"/>
  <c r="AG874" i="6" s="1"/>
  <c r="AF875" i="6"/>
  <c r="AG875" i="6" s="1"/>
  <c r="AF876" i="6"/>
  <c r="AG876" i="6"/>
  <c r="AF877" i="6"/>
  <c r="AG877" i="6" s="1"/>
  <c r="AF878" i="6"/>
  <c r="AG878" i="6"/>
  <c r="AF879" i="6"/>
  <c r="AG879" i="6" s="1"/>
  <c r="AF880" i="6"/>
  <c r="AG880" i="6" s="1"/>
  <c r="AF881" i="6"/>
  <c r="AG881" i="6" s="1"/>
  <c r="AF882" i="6"/>
  <c r="AG882" i="6" s="1"/>
  <c r="AF883" i="6"/>
  <c r="AG883" i="6" s="1"/>
  <c r="AF884" i="6"/>
  <c r="AG884" i="6"/>
  <c r="AF885" i="6"/>
  <c r="AG885" i="6" s="1"/>
  <c r="AF886" i="6"/>
  <c r="AG886" i="6" s="1"/>
  <c r="AF887" i="6"/>
  <c r="AG887" i="6"/>
  <c r="AF888" i="6"/>
  <c r="AG888" i="6" s="1"/>
  <c r="AF889" i="6"/>
  <c r="AG889" i="6" s="1"/>
  <c r="AF890" i="6"/>
  <c r="AG890" i="6" s="1"/>
  <c r="AF891" i="6"/>
  <c r="AG891" i="6"/>
  <c r="AF892" i="6"/>
  <c r="AG892" i="6" s="1"/>
  <c r="AF893" i="6"/>
  <c r="AG893" i="6"/>
  <c r="AF894" i="6"/>
  <c r="AG894" i="6"/>
  <c r="AF895" i="6"/>
  <c r="AG895" i="6" s="1"/>
  <c r="AF896" i="6"/>
  <c r="AG896" i="6"/>
  <c r="AF897" i="6"/>
  <c r="AG897" i="6"/>
  <c r="AF898" i="6"/>
  <c r="AG898" i="6" s="1"/>
  <c r="AF899" i="6"/>
  <c r="AG899" i="6" s="1"/>
  <c r="AF900" i="6"/>
  <c r="AG900" i="6" s="1"/>
  <c r="AF901" i="6"/>
  <c r="AG901" i="6" s="1"/>
  <c r="AF902" i="6"/>
  <c r="AG902" i="6"/>
  <c r="AF903" i="6"/>
  <c r="AG903" i="6" s="1"/>
  <c r="AF904" i="6"/>
  <c r="AG904" i="6" s="1"/>
  <c r="AF905" i="6"/>
  <c r="AG905" i="6" s="1"/>
  <c r="AF906" i="6"/>
  <c r="AG906" i="6" s="1"/>
  <c r="AF907" i="6"/>
  <c r="AG907" i="6"/>
  <c r="AF908" i="6"/>
  <c r="AG908" i="6"/>
  <c r="AF909" i="6"/>
  <c r="AG909" i="6" s="1"/>
  <c r="AF910" i="6"/>
  <c r="AG910" i="6" s="1"/>
  <c r="AF911" i="6"/>
  <c r="AG911" i="6" s="1"/>
  <c r="AF912" i="6"/>
  <c r="AG912" i="6" s="1"/>
  <c r="AF913" i="6"/>
  <c r="AG913" i="6"/>
  <c r="AF914" i="6"/>
  <c r="AG914" i="6"/>
  <c r="AF915" i="6"/>
  <c r="AG915" i="6" s="1"/>
  <c r="AF916" i="6"/>
  <c r="AG916" i="6"/>
  <c r="AF917" i="6"/>
  <c r="AG917" i="6" s="1"/>
  <c r="AF918" i="6"/>
  <c r="AG918" i="6" s="1"/>
  <c r="AF919" i="6"/>
  <c r="AG919" i="6"/>
  <c r="AF920" i="6"/>
  <c r="AG920" i="6"/>
  <c r="AF921" i="6"/>
  <c r="AG921" i="6" s="1"/>
  <c r="AF922" i="6"/>
  <c r="AG922" i="6"/>
  <c r="AF923" i="6"/>
  <c r="AG923" i="6"/>
  <c r="AF924" i="6"/>
  <c r="AG924" i="6" s="1"/>
  <c r="AF925" i="6"/>
  <c r="AG925" i="6"/>
  <c r="AF926" i="6"/>
  <c r="AG926" i="6"/>
  <c r="AF927" i="6"/>
  <c r="AG927" i="6" s="1"/>
  <c r="AF928" i="6"/>
  <c r="AG928" i="6" s="1"/>
  <c r="AF929" i="6"/>
  <c r="AG929" i="6"/>
  <c r="AF930" i="6"/>
  <c r="AG930" i="6" s="1"/>
  <c r="AF931" i="6"/>
  <c r="AG931" i="6"/>
  <c r="AF932" i="6"/>
  <c r="AG932" i="6"/>
  <c r="AF933" i="6"/>
  <c r="AG933" i="6" s="1"/>
  <c r="AF934" i="6"/>
  <c r="AG934" i="6" s="1"/>
  <c r="AF935" i="6"/>
  <c r="AG935" i="6" s="1"/>
  <c r="AF936" i="6"/>
  <c r="AG936" i="6" s="1"/>
  <c r="AF937" i="6"/>
  <c r="AG937" i="6" s="1"/>
  <c r="AF938" i="6"/>
  <c r="AG938" i="6"/>
  <c r="AF939" i="6"/>
  <c r="AG939" i="6" s="1"/>
  <c r="AF940" i="6"/>
  <c r="AG940" i="6" s="1"/>
  <c r="AF941" i="6"/>
  <c r="AG941" i="6" s="1"/>
  <c r="AF942" i="6"/>
  <c r="AG942" i="6" s="1"/>
  <c r="AF943" i="6"/>
  <c r="AG943" i="6"/>
  <c r="AF944" i="6"/>
  <c r="AG944" i="6"/>
  <c r="G58" i="6" s="1"/>
  <c r="AF945" i="6"/>
  <c r="AG945" i="6" s="1"/>
  <c r="AF946" i="6"/>
  <c r="AG946" i="6" s="1"/>
  <c r="G52" i="6" s="1"/>
  <c r="AF947" i="6"/>
  <c r="AG947" i="6" s="1"/>
  <c r="AF948" i="6"/>
  <c r="AG948" i="6" s="1"/>
  <c r="AF949" i="6"/>
  <c r="AG949" i="6"/>
  <c r="AF950" i="6"/>
  <c r="AG950" i="6"/>
  <c r="AF951" i="6"/>
  <c r="AG951" i="6" s="1"/>
  <c r="AF952" i="6"/>
  <c r="AG952" i="6"/>
  <c r="AF953" i="6"/>
  <c r="AG953" i="6" s="1"/>
  <c r="AF954" i="6"/>
  <c r="AG954" i="6" s="1"/>
  <c r="AF955" i="6"/>
  <c r="AG955" i="6"/>
  <c r="AF956" i="6"/>
  <c r="AG956" i="6"/>
  <c r="AF957" i="6"/>
  <c r="AG957" i="6" s="1"/>
  <c r="AF958" i="6"/>
  <c r="AG958" i="6"/>
  <c r="AF959" i="6"/>
  <c r="AG959" i="6"/>
  <c r="AF960" i="6"/>
  <c r="AG960" i="6" s="1"/>
  <c r="AF961" i="6"/>
  <c r="AG961" i="6"/>
  <c r="AF962" i="6"/>
  <c r="AG962" i="6"/>
  <c r="AF963" i="6"/>
  <c r="AG963" i="6" s="1"/>
  <c r="AF964" i="6"/>
  <c r="AG964" i="6" s="1"/>
  <c r="AF965" i="6"/>
  <c r="AG965" i="6"/>
  <c r="AF966" i="6"/>
  <c r="AG966" i="6" s="1"/>
  <c r="AF967" i="6"/>
  <c r="AG967" i="6"/>
  <c r="AF968" i="6"/>
  <c r="AG968" i="6"/>
  <c r="AF969" i="6"/>
  <c r="AG969" i="6" s="1"/>
  <c r="AF970" i="6"/>
  <c r="AG970" i="6" s="1"/>
  <c r="AF971" i="6"/>
  <c r="AG971" i="6" s="1"/>
  <c r="AF972" i="6"/>
  <c r="AG972" i="6" s="1"/>
  <c r="AF973" i="6"/>
  <c r="AG973" i="6" s="1"/>
  <c r="AF974" i="6"/>
  <c r="AG974" i="6"/>
  <c r="AF975" i="6"/>
  <c r="AG975" i="6" s="1"/>
  <c r="AF976" i="6"/>
  <c r="AG976" i="6" s="1"/>
  <c r="AF977" i="6"/>
  <c r="AG977" i="6" s="1"/>
  <c r="AF978" i="6"/>
  <c r="AG978" i="6" s="1"/>
  <c r="AF979" i="6"/>
  <c r="AG979" i="6"/>
  <c r="AF980" i="6"/>
  <c r="AG980" i="6"/>
  <c r="AF981" i="6"/>
  <c r="AG981" i="6" s="1"/>
  <c r="AF982" i="6"/>
  <c r="AG982" i="6" s="1"/>
  <c r="AF983" i="6"/>
  <c r="AG983" i="6" s="1"/>
  <c r="AF984" i="6"/>
  <c r="AG984" i="6" s="1"/>
  <c r="AF985" i="6"/>
  <c r="AG985" i="6"/>
  <c r="AF986" i="6"/>
  <c r="AG986" i="6"/>
  <c r="AF987" i="6"/>
  <c r="AG987" i="6" s="1"/>
  <c r="AF988" i="6"/>
  <c r="AG988" i="6"/>
  <c r="AF989" i="6"/>
  <c r="AG989" i="6" s="1"/>
  <c r="AF990" i="6"/>
  <c r="AG990" i="6" s="1"/>
  <c r="AF991" i="6"/>
  <c r="AG991" i="6"/>
  <c r="AF992" i="6"/>
  <c r="AG992" i="6"/>
  <c r="AF993" i="6"/>
  <c r="AG993" i="6" s="1"/>
  <c r="AF994" i="6"/>
  <c r="AG994" i="6"/>
  <c r="AF995" i="6"/>
  <c r="AG995" i="6"/>
  <c r="AF996" i="6"/>
  <c r="AG996" i="6" s="1"/>
  <c r="AF997" i="6"/>
  <c r="AG997" i="6"/>
  <c r="AF998" i="6"/>
  <c r="AG998" i="6"/>
  <c r="AF999" i="6"/>
  <c r="AG999" i="6" s="1"/>
  <c r="AF1000" i="6"/>
  <c r="AG1000" i="6" s="1"/>
  <c r="AF1001" i="6"/>
  <c r="AG1001" i="6"/>
  <c r="AF1002" i="6"/>
  <c r="AG1002" i="6" s="1"/>
  <c r="AF1003" i="6"/>
  <c r="AG1003" i="6"/>
  <c r="AF1004" i="6"/>
  <c r="AG1004" i="6"/>
  <c r="AF1005" i="6"/>
  <c r="AG1005" i="6" s="1"/>
  <c r="AF1006" i="6"/>
  <c r="AG1006" i="6" s="1"/>
  <c r="AF1007" i="6"/>
  <c r="AG1007" i="6" s="1"/>
  <c r="AF1008" i="6"/>
  <c r="AG1008" i="6" s="1"/>
  <c r="AF1009" i="6"/>
  <c r="AG1009" i="6" s="1"/>
  <c r="AF1010" i="6"/>
  <c r="AG1010" i="6"/>
  <c r="AF1011" i="6"/>
  <c r="AG1011" i="6" s="1"/>
  <c r="AF1012" i="6"/>
  <c r="AG1012" i="6" s="1"/>
  <c r="AF1013" i="6"/>
  <c r="AG1013" i="6" s="1"/>
  <c r="AF1014" i="6"/>
  <c r="AG1014" i="6" s="1"/>
  <c r="AF1015" i="6"/>
  <c r="AG1015" i="6"/>
  <c r="AF1016" i="6"/>
  <c r="AG1016" i="6"/>
  <c r="AF1017" i="6"/>
  <c r="AG1017" i="6" s="1"/>
  <c r="AF1018" i="6"/>
  <c r="AG1018" i="6" s="1"/>
  <c r="AF1019" i="6"/>
  <c r="AG1019" i="6" s="1"/>
  <c r="AF1020" i="6"/>
  <c r="AG1020" i="6" s="1"/>
  <c r="AF1021" i="6"/>
  <c r="AG1021" i="6"/>
  <c r="AF1022" i="6"/>
  <c r="AG1022" i="6"/>
  <c r="AF1023" i="6"/>
  <c r="AG1023" i="6" s="1"/>
  <c r="AF1024" i="6"/>
  <c r="AG1024" i="6"/>
  <c r="AF1025" i="6"/>
  <c r="AG1025" i="6" s="1"/>
  <c r="AF1026" i="6"/>
  <c r="AG1026" i="6" s="1"/>
  <c r="AF1027" i="6"/>
  <c r="AG1027" i="6"/>
  <c r="AF1028" i="6"/>
  <c r="AG1028" i="6"/>
  <c r="AF1029" i="6"/>
  <c r="AG1029" i="6" s="1"/>
  <c r="AF1030" i="6"/>
  <c r="AG1030" i="6"/>
  <c r="AF1031" i="6"/>
  <c r="AG1031" i="6"/>
  <c r="AF1032" i="6"/>
  <c r="AG1032" i="6" s="1"/>
  <c r="AF1033" i="6"/>
  <c r="AG1033" i="6"/>
  <c r="AF1034" i="6"/>
  <c r="AG1034" i="6"/>
  <c r="AF1035" i="6"/>
  <c r="AG1035" i="6" s="1"/>
  <c r="AF1036" i="6"/>
  <c r="AG1036" i="6" s="1"/>
  <c r="AF1037" i="6"/>
  <c r="AG1037" i="6"/>
  <c r="AF1038" i="6"/>
  <c r="AG1038" i="6" s="1"/>
  <c r="AF1039" i="6"/>
  <c r="AG1039" i="6"/>
  <c r="AF1040" i="6"/>
  <c r="AG1040" i="6"/>
  <c r="AF1041" i="6"/>
  <c r="AG1041" i="6" s="1"/>
  <c r="AF1042" i="6"/>
  <c r="AG1042" i="6" s="1"/>
  <c r="AF1043" i="6"/>
  <c r="AG1043" i="6" s="1"/>
  <c r="AF1044" i="6"/>
  <c r="AG1044" i="6" s="1"/>
  <c r="AF1045" i="6"/>
  <c r="AG1045" i="6" s="1"/>
  <c r="AF1046" i="6"/>
  <c r="AG1046" i="6"/>
  <c r="AF1047" i="6"/>
  <c r="AG1047" i="6" s="1"/>
  <c r="AF1048" i="6"/>
  <c r="AG1048" i="6" s="1"/>
  <c r="AF1049" i="6"/>
  <c r="AG1049" i="6" s="1"/>
  <c r="AF1050" i="6"/>
  <c r="AG1050" i="6" s="1"/>
  <c r="AF1051" i="6"/>
  <c r="AG1051" i="6"/>
  <c r="AF1052" i="6"/>
  <c r="AG1052" i="6"/>
  <c r="AF1053" i="6"/>
  <c r="AG1053" i="6" s="1"/>
  <c r="AF1054" i="6"/>
  <c r="AG1054" i="6" s="1"/>
  <c r="AF1055" i="6"/>
  <c r="AG1055" i="6" s="1"/>
  <c r="AF1056" i="6"/>
  <c r="AG1056" i="6" s="1"/>
  <c r="AF1057" i="6"/>
  <c r="AG1057" i="6"/>
  <c r="AF1058" i="6"/>
  <c r="AG1058" i="6"/>
  <c r="AF1059" i="6"/>
  <c r="AG1059" i="6" s="1"/>
  <c r="AF1060" i="6"/>
  <c r="AG1060" i="6"/>
  <c r="AF1061" i="6"/>
  <c r="AG1061" i="6" s="1"/>
  <c r="AF1062" i="6"/>
  <c r="AG1062" i="6" s="1"/>
  <c r="AF1063" i="6"/>
  <c r="AG1063" i="6"/>
  <c r="AF1064" i="6"/>
  <c r="AG1064" i="6"/>
  <c r="AF1065" i="6"/>
  <c r="AG1065" i="6" s="1"/>
  <c r="AF1066" i="6"/>
  <c r="AG1066" i="6"/>
  <c r="AF1067" i="6"/>
  <c r="AG1067" i="6"/>
  <c r="AF1068" i="6"/>
  <c r="AG1068" i="6" s="1"/>
  <c r="AF1069" i="6"/>
  <c r="AG1069" i="6"/>
  <c r="AF1070" i="6"/>
  <c r="AG1070" i="6"/>
  <c r="AF1071" i="6"/>
  <c r="AG1071" i="6" s="1"/>
  <c r="AF1072" i="6"/>
  <c r="AG1072" i="6" s="1"/>
  <c r="AF1073" i="6"/>
  <c r="AG1073" i="6"/>
  <c r="AF1074" i="6"/>
  <c r="AG1074" i="6" s="1"/>
  <c r="AF1075" i="6"/>
  <c r="AG1075" i="6"/>
  <c r="AF1076" i="6"/>
  <c r="AG1076" i="6"/>
  <c r="AF1077" i="6"/>
  <c r="AG1077" i="6" s="1"/>
  <c r="AF1078" i="6"/>
  <c r="AG1078" i="6" s="1"/>
  <c r="AF1079" i="6"/>
  <c r="AG1079" i="6" s="1"/>
  <c r="AF1080" i="6"/>
  <c r="AG1080" i="6" s="1"/>
  <c r="AF1081" i="6"/>
  <c r="AG1081" i="6" s="1"/>
  <c r="AF1082" i="6"/>
  <c r="AG1082" i="6"/>
  <c r="AF1083" i="6"/>
  <c r="AG1083" i="6" s="1"/>
  <c r="AF1084" i="6"/>
  <c r="AG1084" i="6" s="1"/>
  <c r="AF1085" i="6"/>
  <c r="AG1085" i="6" s="1"/>
  <c r="AF1086" i="6"/>
  <c r="AG1086" i="6" s="1"/>
  <c r="AF1087" i="6"/>
  <c r="AG1087" i="6"/>
  <c r="AF1088" i="6"/>
  <c r="AG1088" i="6"/>
  <c r="AF1089" i="6"/>
  <c r="AG1089" i="6" s="1"/>
  <c r="AF1090" i="6"/>
  <c r="AG1090" i="6" s="1"/>
  <c r="AF1091" i="6"/>
  <c r="AG1091" i="6" s="1"/>
  <c r="AF1092" i="6"/>
  <c r="AG1092" i="6" s="1"/>
  <c r="AF1093" i="6"/>
  <c r="AG1093" i="6"/>
  <c r="AF1094" i="6"/>
  <c r="AG1094" i="6"/>
  <c r="AF1095" i="6"/>
  <c r="AG1095" i="6" s="1"/>
  <c r="AF1096" i="6"/>
  <c r="AG1096" i="6"/>
  <c r="AF1097" i="6"/>
  <c r="AG1097" i="6" s="1"/>
  <c r="AF1098" i="6"/>
  <c r="AG1098" i="6" s="1"/>
  <c r="AF1099" i="6"/>
  <c r="AG1099" i="6"/>
  <c r="AF1100" i="6"/>
  <c r="AG1100" i="6"/>
  <c r="AF1101" i="6"/>
  <c r="AG1101" i="6" s="1"/>
  <c r="AF1102" i="6"/>
  <c r="AG1102" i="6"/>
  <c r="AF1103" i="6"/>
  <c r="AG1103" i="6"/>
  <c r="AF1104" i="6"/>
  <c r="AG1104" i="6" s="1"/>
  <c r="AF1105" i="6"/>
  <c r="AG1105" i="6"/>
  <c r="G32" i="6" l="1"/>
  <c r="G33" i="6"/>
  <c r="G34" i="6"/>
  <c r="G72" i="6"/>
  <c r="T72" i="6" s="1"/>
  <c r="G23" i="6"/>
  <c r="T23" i="6" s="1"/>
  <c r="G28" i="6"/>
  <c r="G29" i="6"/>
  <c r="G30" i="6"/>
  <c r="G27" i="6"/>
  <c r="G67" i="6"/>
  <c r="T67" i="6" s="1"/>
  <c r="G81" i="6"/>
  <c r="T81" i="6" s="1"/>
  <c r="G36" i="6"/>
  <c r="T36" i="6" s="1"/>
  <c r="G51" i="6"/>
  <c r="G42" i="6"/>
  <c r="T42" i="6" s="1"/>
  <c r="G55" i="6"/>
  <c r="G76" i="6"/>
  <c r="T76" i="6" s="1"/>
  <c r="G6" i="6"/>
  <c r="T6" i="6" s="1"/>
  <c r="G8" i="6"/>
  <c r="G46" i="6"/>
  <c r="T46" i="6" s="1"/>
  <c r="G26" i="6"/>
  <c r="T26" i="6" s="1"/>
  <c r="G59" i="6"/>
  <c r="T59" i="6" s="1"/>
  <c r="G53" i="6"/>
  <c r="T53" i="6" s="1"/>
  <c r="G79" i="6"/>
  <c r="T79" i="6" s="1"/>
  <c r="G47" i="6"/>
  <c r="T47" i="6" s="1"/>
  <c r="G24" i="6"/>
  <c r="T24" i="6" s="1"/>
  <c r="G68" i="6"/>
  <c r="T68" i="6" s="1"/>
  <c r="G62" i="6"/>
  <c r="T62" i="6" s="1"/>
  <c r="G56" i="6"/>
  <c r="T56" i="6" s="1"/>
  <c r="G43" i="6"/>
  <c r="T43" i="6" s="1"/>
  <c r="G37" i="6"/>
  <c r="T37" i="6" s="1"/>
  <c r="G4" i="6"/>
  <c r="T4" i="6" s="1"/>
  <c r="G80" i="6"/>
  <c r="T80" i="6" s="1"/>
  <c r="G74" i="6"/>
  <c r="T74" i="6" s="1"/>
  <c r="G48" i="6"/>
  <c r="T48" i="6" s="1"/>
  <c r="G69" i="6"/>
  <c r="T69" i="6" s="1"/>
  <c r="G63" i="6"/>
  <c r="T63" i="6" s="1"/>
  <c r="G57" i="6"/>
  <c r="T57" i="6" s="1"/>
  <c r="G25" i="6"/>
  <c r="T25" i="6" s="1"/>
  <c r="G7" i="6"/>
  <c r="T7" i="6" s="1"/>
  <c r="G75" i="6"/>
  <c r="T75" i="6" s="1"/>
  <c r="G70" i="6"/>
  <c r="T70" i="6" s="1"/>
  <c r="G64" i="6"/>
  <c r="T64" i="6" s="1"/>
  <c r="G49" i="6"/>
  <c r="T49" i="6" s="1"/>
  <c r="G44" i="6"/>
  <c r="T44" i="6" s="1"/>
  <c r="G38" i="6"/>
  <c r="T38" i="6" s="1"/>
  <c r="G71" i="6"/>
  <c r="T71" i="6" s="1"/>
  <c r="G65" i="6"/>
  <c r="T65" i="6" s="1"/>
  <c r="G45" i="6"/>
  <c r="T45" i="6" s="1"/>
  <c r="G39" i="6"/>
  <c r="T39" i="6" s="1"/>
  <c r="G77" i="6"/>
  <c r="T77" i="6" s="1"/>
  <c r="G50" i="6"/>
  <c r="T50" i="6" s="1"/>
  <c r="G22" i="6"/>
  <c r="T22" i="6" s="1"/>
  <c r="G5" i="6"/>
  <c r="T5" i="6" s="1"/>
  <c r="G3" i="6"/>
  <c r="T3" i="6" s="1"/>
  <c r="G60" i="6"/>
  <c r="T60" i="6" s="1"/>
  <c r="G40" i="6"/>
  <c r="T40" i="6" s="1"/>
  <c r="G31" i="6"/>
  <c r="T31" i="6" s="1"/>
  <c r="G78" i="6"/>
  <c r="T78" i="6" s="1"/>
  <c r="G61" i="6"/>
  <c r="T61" i="6" s="1"/>
  <c r="G41" i="6"/>
  <c r="T41" i="6" s="1"/>
  <c r="G35" i="6"/>
  <c r="T35" i="6" s="1"/>
  <c r="G73" i="6"/>
  <c r="T73" i="6" s="1"/>
  <c r="G54" i="6"/>
  <c r="T54" i="6" s="1"/>
  <c r="J2070" i="4"/>
  <c r="G2070" i="4"/>
  <c r="F2070" i="4"/>
  <c r="I2070" i="4" s="1"/>
  <c r="J2069" i="4"/>
  <c r="I2069" i="4"/>
  <c r="F2069" i="4"/>
  <c r="J2068" i="4"/>
  <c r="F2068" i="4"/>
  <c r="I2068" i="4" s="1"/>
  <c r="J2067" i="4"/>
  <c r="I2067" i="4"/>
  <c r="F2067" i="4"/>
  <c r="G2065" i="4"/>
  <c r="J2065" i="4" s="1"/>
  <c r="F2065" i="4"/>
  <c r="I2065" i="4" s="1"/>
  <c r="J2064" i="4"/>
  <c r="F2064" i="4"/>
  <c r="I2064" i="4" s="1"/>
  <c r="J2063" i="4"/>
  <c r="F2063" i="4"/>
  <c r="I2063" i="4" s="1"/>
  <c r="J2062" i="4"/>
  <c r="I2062" i="4"/>
  <c r="F2062" i="4"/>
  <c r="J2061" i="4"/>
  <c r="I2061" i="4"/>
  <c r="J2060" i="4"/>
  <c r="H2060" i="4"/>
  <c r="F2060" i="4"/>
  <c r="I2060" i="4" s="1"/>
  <c r="J2058" i="4"/>
  <c r="F2058" i="4"/>
  <c r="I2058" i="4" s="1"/>
  <c r="J2057" i="4"/>
  <c r="I2057" i="4"/>
  <c r="H2057" i="4"/>
  <c r="F2057" i="4"/>
  <c r="J2056" i="4"/>
  <c r="I2056" i="4"/>
  <c r="J2055" i="4"/>
  <c r="F2055" i="4"/>
  <c r="I2055" i="4" s="1"/>
  <c r="J2054" i="4"/>
  <c r="F2054" i="4"/>
  <c r="I2054" i="4" s="1"/>
  <c r="J2053" i="4"/>
  <c r="I2053" i="4"/>
  <c r="F2053" i="4"/>
  <c r="J2052" i="4"/>
  <c r="I2052" i="4"/>
  <c r="F2052" i="4"/>
  <c r="J2051" i="4"/>
  <c r="F2051" i="4"/>
  <c r="I2051" i="4" s="1"/>
  <c r="J2050" i="4"/>
  <c r="F2050" i="4"/>
  <c r="I2050" i="4" s="1"/>
  <c r="J2049" i="4"/>
  <c r="I2049" i="4"/>
  <c r="F2049" i="4"/>
  <c r="J2048" i="4"/>
  <c r="I2048" i="4"/>
  <c r="J2047" i="4"/>
  <c r="I2047" i="4"/>
  <c r="F2047" i="4"/>
  <c r="J2046" i="4"/>
  <c r="I2046" i="4"/>
  <c r="J2045" i="4"/>
  <c r="F2045" i="4"/>
  <c r="I2045" i="4" s="1"/>
  <c r="J2044" i="4"/>
  <c r="I2044" i="4"/>
  <c r="F2044" i="4"/>
  <c r="J2043" i="4"/>
  <c r="I2043" i="4"/>
  <c r="J2042" i="4"/>
  <c r="I2042" i="4"/>
  <c r="J2041" i="4"/>
  <c r="H2041" i="4"/>
  <c r="I2041" i="4" s="1"/>
  <c r="F2041" i="4"/>
  <c r="J2040" i="4"/>
  <c r="I2040" i="4"/>
  <c r="H2038" i="4"/>
  <c r="J2038" i="4" s="1"/>
  <c r="F2038" i="4"/>
  <c r="J2037" i="4"/>
  <c r="F2037" i="4"/>
  <c r="I2037" i="4" s="1"/>
  <c r="J2036" i="4"/>
  <c r="I2036" i="4"/>
  <c r="J2035" i="4"/>
  <c r="I2035" i="4"/>
  <c r="J2034" i="4"/>
  <c r="I2034" i="4"/>
  <c r="F2034" i="4"/>
  <c r="J2033" i="4"/>
  <c r="I2033" i="4"/>
  <c r="F2033" i="4"/>
  <c r="J2032" i="4"/>
  <c r="I2032" i="4"/>
  <c r="F2032" i="4"/>
  <c r="J2031" i="4"/>
  <c r="F2031" i="4"/>
  <c r="I2031" i="4" s="1"/>
  <c r="J2030" i="4"/>
  <c r="I2030" i="4"/>
  <c r="F2030" i="4"/>
  <c r="J2029" i="4"/>
  <c r="I2029" i="4"/>
  <c r="H2029" i="4"/>
  <c r="F2029" i="4"/>
  <c r="J2028" i="4"/>
  <c r="H2028" i="4"/>
  <c r="I2028" i="4" s="1"/>
  <c r="F2028" i="4"/>
  <c r="J2027" i="4"/>
  <c r="I2027" i="4"/>
  <c r="J2026" i="4"/>
  <c r="I2026" i="4"/>
  <c r="J2025" i="4"/>
  <c r="I2025" i="4"/>
  <c r="F2025" i="4"/>
  <c r="J2024" i="4"/>
  <c r="I2024" i="4"/>
  <c r="K2023" i="4"/>
  <c r="J2023" i="4"/>
  <c r="F2023" i="4"/>
  <c r="I2023" i="4" s="1"/>
  <c r="K2022" i="4"/>
  <c r="J2022" i="4"/>
  <c r="F2022" i="4"/>
  <c r="I2022" i="4" s="1"/>
  <c r="G493" i="3"/>
  <c r="H492" i="3" s="1"/>
  <c r="E492" i="3"/>
  <c r="E491" i="3" s="1"/>
  <c r="E494" i="3" s="1"/>
  <c r="F491" i="3"/>
  <c r="F494" i="3" s="1"/>
  <c r="G489" i="3"/>
  <c r="H488" i="3" s="1"/>
  <c r="E489" i="3"/>
  <c r="F488" i="3"/>
  <c r="E488" i="3"/>
  <c r="G486" i="3"/>
  <c r="F486" i="3"/>
  <c r="E486" i="3"/>
  <c r="E485" i="3" s="1"/>
  <c r="E490" i="3" s="1"/>
  <c r="F485" i="3"/>
  <c r="F490" i="3" s="1"/>
  <c r="G484" i="3"/>
  <c r="E483" i="3"/>
  <c r="E479" i="3" s="1"/>
  <c r="E482" i="3"/>
  <c r="E481" i="3"/>
  <c r="E480" i="3"/>
  <c r="F479" i="3"/>
  <c r="E478" i="3"/>
  <c r="F477" i="3"/>
  <c r="E477" i="3"/>
  <c r="E476" i="3" s="1"/>
  <c r="G476" i="3"/>
  <c r="F476" i="3"/>
  <c r="I476" i="3" s="1"/>
  <c r="E474" i="3"/>
  <c r="G473" i="3"/>
  <c r="F473" i="3"/>
  <c r="F464" i="3" s="1"/>
  <c r="F475" i="3" s="1"/>
  <c r="E473" i="3"/>
  <c r="E472" i="3"/>
  <c r="G471" i="3"/>
  <c r="F471" i="3"/>
  <c r="E471" i="3"/>
  <c r="E469" i="3"/>
  <c r="E468" i="3"/>
  <c r="E467" i="3"/>
  <c r="E465" i="3" s="1"/>
  <c r="E464" i="3" s="1"/>
  <c r="E475" i="3" s="1"/>
  <c r="E466" i="3"/>
  <c r="G465" i="3"/>
  <c r="F465" i="3"/>
  <c r="G464" i="3"/>
  <c r="I464" i="3" s="1"/>
  <c r="F461" i="3"/>
  <c r="H460" i="3"/>
  <c r="G460" i="3"/>
  <c r="F460" i="3"/>
  <c r="I460" i="3" s="1"/>
  <c r="E460" i="3"/>
  <c r="G458" i="3"/>
  <c r="F458" i="3"/>
  <c r="E458" i="3"/>
  <c r="E457" i="3"/>
  <c r="E455" i="3" s="1"/>
  <c r="E456" i="3"/>
  <c r="G455" i="3"/>
  <c r="G444" i="3" s="1"/>
  <c r="F455" i="3"/>
  <c r="F444" i="3" s="1"/>
  <c r="F463" i="3" s="1"/>
  <c r="E454" i="3"/>
  <c r="E453" i="3"/>
  <c r="E452" i="3"/>
  <c r="E451" i="3"/>
  <c r="E450" i="3"/>
  <c r="E449" i="3"/>
  <c r="E448" i="3"/>
  <c r="H447" i="3" s="1"/>
  <c r="G447" i="3"/>
  <c r="F447" i="3"/>
  <c r="G445" i="3"/>
  <c r="F445" i="3"/>
  <c r="E445" i="3"/>
  <c r="G441" i="3"/>
  <c r="F441" i="3"/>
  <c r="E441" i="3"/>
  <c r="E440" i="3"/>
  <c r="G439" i="3"/>
  <c r="F439" i="3"/>
  <c r="E439" i="3"/>
  <c r="E437" i="3"/>
  <c r="E436" i="3"/>
  <c r="G435" i="3"/>
  <c r="G434" i="3" s="1"/>
  <c r="F435" i="3"/>
  <c r="F434" i="3" s="1"/>
  <c r="F443" i="3" s="1"/>
  <c r="E435" i="3"/>
  <c r="E434" i="3" s="1"/>
  <c r="E443" i="3" s="1"/>
  <c r="E432" i="3"/>
  <c r="E429" i="3" s="1"/>
  <c r="E433" i="3" s="1"/>
  <c r="E431" i="3"/>
  <c r="E430" i="3"/>
  <c r="G429" i="3"/>
  <c r="G433" i="3" s="1"/>
  <c r="F429" i="3"/>
  <c r="E428" i="3"/>
  <c r="G427" i="3"/>
  <c r="F427" i="3"/>
  <c r="F433" i="3" s="1"/>
  <c r="E427" i="3"/>
  <c r="G423" i="3"/>
  <c r="G422" i="3" s="1"/>
  <c r="F423" i="3"/>
  <c r="F422" i="3" s="1"/>
  <c r="E423" i="3"/>
  <c r="E422" i="3"/>
  <c r="G420" i="3"/>
  <c r="F420" i="3"/>
  <c r="F419" i="3" s="1"/>
  <c r="E420" i="3"/>
  <c r="H419" i="3"/>
  <c r="G419" i="3"/>
  <c r="E419" i="3"/>
  <c r="F418" i="3"/>
  <c r="F417" i="3" s="1"/>
  <c r="G417" i="3"/>
  <c r="E417" i="3"/>
  <c r="E416" i="3"/>
  <c r="E415" i="3" s="1"/>
  <c r="G415" i="3"/>
  <c r="F415" i="3"/>
  <c r="E414" i="3"/>
  <c r="E413" i="3"/>
  <c r="E411" i="3"/>
  <c r="E410" i="3"/>
  <c r="E409" i="3"/>
  <c r="E407" i="3" s="1"/>
  <c r="E404" i="3" s="1"/>
  <c r="E408" i="3"/>
  <c r="H407" i="3"/>
  <c r="G407" i="3"/>
  <c r="F407" i="3"/>
  <c r="E406" i="3"/>
  <c r="G405" i="3"/>
  <c r="G404" i="3" s="1"/>
  <c r="F405" i="3"/>
  <c r="E405" i="3"/>
  <c r="E403" i="3"/>
  <c r="E402" i="3" s="1"/>
  <c r="E401" i="3" s="1"/>
  <c r="E425" i="3" s="1"/>
  <c r="G402" i="3"/>
  <c r="G401" i="3" s="1"/>
  <c r="F402" i="3"/>
  <c r="F401" i="3"/>
  <c r="G398" i="3"/>
  <c r="H397" i="3" s="1"/>
  <c r="E397" i="3"/>
  <c r="E394" i="3" s="1"/>
  <c r="E399" i="3" s="1"/>
  <c r="H395" i="3"/>
  <c r="G395" i="3"/>
  <c r="E395" i="3"/>
  <c r="I394" i="3"/>
  <c r="H394" i="3"/>
  <c r="F394" i="3"/>
  <c r="F399" i="3" s="1"/>
  <c r="F393" i="3"/>
  <c r="H392" i="3"/>
  <c r="G392" i="3"/>
  <c r="H391" i="3" s="1"/>
  <c r="F391" i="3"/>
  <c r="F390" i="3" s="1"/>
  <c r="E391" i="3"/>
  <c r="E390" i="3" s="1"/>
  <c r="E388" i="3"/>
  <c r="E387" i="3" s="1"/>
  <c r="E386" i="3" s="1"/>
  <c r="G387" i="3"/>
  <c r="G386" i="3" s="1"/>
  <c r="F387" i="3"/>
  <c r="F386" i="3"/>
  <c r="E385" i="3"/>
  <c r="E383" i="3" s="1"/>
  <c r="E384" i="3"/>
  <c r="G383" i="3"/>
  <c r="F383" i="3"/>
  <c r="E382" i="3"/>
  <c r="E381" i="3" s="1"/>
  <c r="G381" i="3"/>
  <c r="F381" i="3"/>
  <c r="E380" i="3"/>
  <c r="E379" i="3"/>
  <c r="E378" i="3"/>
  <c r="E377" i="3" s="1"/>
  <c r="G377" i="3"/>
  <c r="F377" i="3"/>
  <c r="E376" i="3"/>
  <c r="E374" i="3" s="1"/>
  <c r="E375" i="3"/>
  <c r="G374" i="3"/>
  <c r="G371" i="3" s="1"/>
  <c r="F374" i="3"/>
  <c r="E373" i="3"/>
  <c r="E372" i="3" s="1"/>
  <c r="G372" i="3"/>
  <c r="F372" i="3"/>
  <c r="F371" i="3" s="1"/>
  <c r="F389" i="3" s="1"/>
  <c r="E369" i="3"/>
  <c r="E368" i="3" s="1"/>
  <c r="E367" i="3" s="1"/>
  <c r="H367" i="3" s="1"/>
  <c r="G368" i="3"/>
  <c r="F368" i="3"/>
  <c r="F367" i="3" s="1"/>
  <c r="G367" i="3"/>
  <c r="E366" i="3"/>
  <c r="G365" i="3"/>
  <c r="G362" i="3" s="1"/>
  <c r="F365" i="3"/>
  <c r="E365" i="3"/>
  <c r="E362" i="3" s="1"/>
  <c r="G363" i="3"/>
  <c r="F363" i="3"/>
  <c r="F362" i="3" s="1"/>
  <c r="E363" i="3"/>
  <c r="E361" i="3"/>
  <c r="G360" i="3"/>
  <c r="G359" i="3" s="1"/>
  <c r="F360" i="3"/>
  <c r="F359" i="3" s="1"/>
  <c r="E360" i="3"/>
  <c r="E359" i="3" s="1"/>
  <c r="E358" i="3"/>
  <c r="E357" i="3"/>
  <c r="E356" i="3" s="1"/>
  <c r="E355" i="3" s="1"/>
  <c r="G356" i="3"/>
  <c r="G355" i="3" s="1"/>
  <c r="F356" i="3"/>
  <c r="F355" i="3"/>
  <c r="E354" i="3"/>
  <c r="G353" i="3"/>
  <c r="F353" i="3"/>
  <c r="E353" i="3"/>
  <c r="E352" i="3"/>
  <c r="E351" i="3"/>
  <c r="F350" i="3"/>
  <c r="F347" i="3" s="1"/>
  <c r="E350" i="3"/>
  <c r="E349" i="3"/>
  <c r="E348" i="3"/>
  <c r="E347" i="3" s="1"/>
  <c r="G347" i="3"/>
  <c r="E346" i="3"/>
  <c r="E344" i="3" s="1"/>
  <c r="E345" i="3"/>
  <c r="G344" i="3"/>
  <c r="F344" i="3"/>
  <c r="E343" i="3"/>
  <c r="E342" i="3"/>
  <c r="G341" i="3"/>
  <c r="G340" i="3" s="1"/>
  <c r="F341" i="3"/>
  <c r="E341" i="3"/>
  <c r="E339" i="3"/>
  <c r="E338" i="3" s="1"/>
  <c r="G338" i="3"/>
  <c r="G335" i="3" s="1"/>
  <c r="F338" i="3"/>
  <c r="E337" i="3"/>
  <c r="E336" i="3" s="1"/>
  <c r="E335" i="3" s="1"/>
  <c r="G336" i="3"/>
  <c r="F336" i="3"/>
  <c r="F335" i="3" s="1"/>
  <c r="E333" i="3"/>
  <c r="E331" i="3" s="1"/>
  <c r="E330" i="3" s="1"/>
  <c r="E332" i="3"/>
  <c r="G331" i="3"/>
  <c r="F331" i="3"/>
  <c r="F330" i="3" s="1"/>
  <c r="G330" i="3"/>
  <c r="E329" i="3"/>
  <c r="E324" i="3" s="1"/>
  <c r="G328" i="3"/>
  <c r="F328" i="3"/>
  <c r="E326" i="3"/>
  <c r="G325" i="3"/>
  <c r="G324" i="3" s="1"/>
  <c r="F325" i="3"/>
  <c r="F324" i="3" s="1"/>
  <c r="F334" i="3" s="1"/>
  <c r="E325" i="3"/>
  <c r="G322" i="3"/>
  <c r="F322" i="3"/>
  <c r="E322" i="3"/>
  <c r="E321" i="3"/>
  <c r="G320" i="3"/>
  <c r="F320" i="3"/>
  <c r="E320" i="3"/>
  <c r="G318" i="3"/>
  <c r="G317" i="3" s="1"/>
  <c r="F318" i="3"/>
  <c r="E318" i="3"/>
  <c r="E317" i="3" s="1"/>
  <c r="E334" i="3" s="1"/>
  <c r="F317" i="3"/>
  <c r="F315" i="3"/>
  <c r="F312" i="3" s="1"/>
  <c r="F311" i="3" s="1"/>
  <c r="E315" i="3"/>
  <c r="E314" i="3"/>
  <c r="G312" i="3"/>
  <c r="G311" i="3" s="1"/>
  <c r="E312" i="3"/>
  <c r="E311" i="3" s="1"/>
  <c r="E310" i="3"/>
  <c r="E309" i="3"/>
  <c r="G308" i="3"/>
  <c r="F308" i="3"/>
  <c r="E308" i="3"/>
  <c r="E307" i="3"/>
  <c r="E306" i="3" s="1"/>
  <c r="E305" i="3" s="1"/>
  <c r="G306" i="3"/>
  <c r="G305" i="3" s="1"/>
  <c r="F306" i="3"/>
  <c r="F305" i="3"/>
  <c r="E304" i="3"/>
  <c r="E303" i="3"/>
  <c r="E302" i="3"/>
  <c r="E301" i="3" s="1"/>
  <c r="E300" i="3" s="1"/>
  <c r="H300" i="3" s="1"/>
  <c r="G301" i="3"/>
  <c r="F301" i="3"/>
  <c r="F300" i="3" s="1"/>
  <c r="G300" i="3"/>
  <c r="I300" i="3" s="1"/>
  <c r="F299" i="3"/>
  <c r="E299" i="3"/>
  <c r="E298" i="3"/>
  <c r="E297" i="3"/>
  <c r="F296" i="3"/>
  <c r="E296" i="3"/>
  <c r="E294" i="3" s="1"/>
  <c r="E295" i="3"/>
  <c r="G294" i="3"/>
  <c r="F294" i="3"/>
  <c r="F293" i="3"/>
  <c r="E293" i="3"/>
  <c r="H292" i="3" s="1"/>
  <c r="G292" i="3"/>
  <c r="F292" i="3"/>
  <c r="F291" i="3"/>
  <c r="E291" i="3"/>
  <c r="F290" i="3"/>
  <c r="E290" i="3"/>
  <c r="E289" i="3"/>
  <c r="F287" i="3"/>
  <c r="E287" i="3"/>
  <c r="E286" i="3"/>
  <c r="E285" i="3"/>
  <c r="E284" i="3" s="1"/>
  <c r="G284" i="3"/>
  <c r="F284" i="3"/>
  <c r="E282" i="3"/>
  <c r="E279" i="3" s="1"/>
  <c r="H276" i="3" s="1"/>
  <c r="E281" i="3"/>
  <c r="F280" i="3"/>
  <c r="F279" i="3" s="1"/>
  <c r="E280" i="3"/>
  <c r="H279" i="3"/>
  <c r="G279" i="3"/>
  <c r="E278" i="3"/>
  <c r="F277" i="3"/>
  <c r="F275" i="3" s="1"/>
  <c r="E277" i="3"/>
  <c r="F276" i="3"/>
  <c r="E276" i="3"/>
  <c r="H275" i="3"/>
  <c r="G275" i="3"/>
  <c r="G274" i="3" s="1"/>
  <c r="E275" i="3"/>
  <c r="F273" i="3"/>
  <c r="E273" i="3"/>
  <c r="G272" i="3"/>
  <c r="F272" i="3"/>
  <c r="E272" i="3"/>
  <c r="E271" i="3"/>
  <c r="E270" i="3" s="1"/>
  <c r="G270" i="3"/>
  <c r="F270" i="3"/>
  <c r="F269" i="3"/>
  <c r="E269" i="3"/>
  <c r="E268" i="3" s="1"/>
  <c r="G267" i="3"/>
  <c r="F268" i="3"/>
  <c r="F267" i="3"/>
  <c r="E264" i="3"/>
  <c r="E263" i="3" s="1"/>
  <c r="E262" i="3" s="1"/>
  <c r="H262" i="3" s="1"/>
  <c r="G263" i="3"/>
  <c r="F263" i="3"/>
  <c r="F262" i="3" s="1"/>
  <c r="G262" i="3"/>
  <c r="I262" i="3" s="1"/>
  <c r="E261" i="3"/>
  <c r="G260" i="3"/>
  <c r="G259" i="3" s="1"/>
  <c r="F260" i="3"/>
  <c r="F259" i="3" s="1"/>
  <c r="E260" i="3"/>
  <c r="E259" i="3" s="1"/>
  <c r="E258" i="3"/>
  <c r="E257" i="3"/>
  <c r="H256" i="3"/>
  <c r="E256" i="3"/>
  <c r="H255" i="3" s="1"/>
  <c r="G255" i="3"/>
  <c r="G254" i="3" s="1"/>
  <c r="F255" i="3"/>
  <c r="F254" i="3" s="1"/>
  <c r="E253" i="3"/>
  <c r="E252" i="3"/>
  <c r="E251" i="3"/>
  <c r="H250" i="3"/>
  <c r="E250" i="3"/>
  <c r="H248" i="3" s="1"/>
  <c r="E249" i="3"/>
  <c r="E247" i="3" s="1"/>
  <c r="G248" i="3"/>
  <c r="H247" i="3"/>
  <c r="G247" i="3"/>
  <c r="F247" i="3"/>
  <c r="E246" i="3"/>
  <c r="G245" i="3"/>
  <c r="H244" i="3" s="1"/>
  <c r="F245" i="3"/>
  <c r="E245" i="3"/>
  <c r="E244" i="3"/>
  <c r="E243" i="3"/>
  <c r="H242" i="3"/>
  <c r="E242" i="3"/>
  <c r="H240" i="3" s="1"/>
  <c r="E241" i="3"/>
  <c r="E240" i="3"/>
  <c r="H238" i="3" s="1"/>
  <c r="E239" i="3"/>
  <c r="E238" i="3"/>
  <c r="E237" i="3"/>
  <c r="H236" i="3"/>
  <c r="E236" i="3"/>
  <c r="E235" i="3" s="1"/>
  <c r="H233" i="3" s="1"/>
  <c r="G235" i="3"/>
  <c r="F235" i="3"/>
  <c r="E234" i="3"/>
  <c r="G233" i="3"/>
  <c r="E233" i="3"/>
  <c r="E232" i="3"/>
  <c r="H231" i="3"/>
  <c r="E231" i="3"/>
  <c r="H230" i="3"/>
  <c r="E230" i="3"/>
  <c r="H229" i="3"/>
  <c r="G229" i="3"/>
  <c r="G223" i="3" s="1"/>
  <c r="F229" i="3"/>
  <c r="E229" i="3"/>
  <c r="E228" i="3"/>
  <c r="E227" i="3"/>
  <c r="E224" i="3" s="1"/>
  <c r="E223" i="3" s="1"/>
  <c r="E226" i="3"/>
  <c r="H225" i="3"/>
  <c r="E225" i="3"/>
  <c r="I224" i="3"/>
  <c r="G224" i="3"/>
  <c r="F224" i="3"/>
  <c r="F223" i="3" s="1"/>
  <c r="E222" i="3"/>
  <c r="E221" i="3" s="1"/>
  <c r="G221" i="3"/>
  <c r="F221" i="3"/>
  <c r="E220" i="3"/>
  <c r="H219" i="3" s="1"/>
  <c r="G219" i="3"/>
  <c r="F219" i="3"/>
  <c r="E218" i="3"/>
  <c r="E217" i="3" s="1"/>
  <c r="G217" i="3"/>
  <c r="G216" i="3" s="1"/>
  <c r="F217" i="3"/>
  <c r="F216" i="3" s="1"/>
  <c r="E214" i="3"/>
  <c r="E213" i="3" s="1"/>
  <c r="E212" i="3" s="1"/>
  <c r="H212" i="3" s="1"/>
  <c r="G213" i="3"/>
  <c r="F213" i="3"/>
  <c r="F212" i="3" s="1"/>
  <c r="G212" i="3"/>
  <c r="I212" i="3" s="1"/>
  <c r="E211" i="3"/>
  <c r="G210" i="3"/>
  <c r="G209" i="3" s="1"/>
  <c r="F210" i="3"/>
  <c r="F209" i="3" s="1"/>
  <c r="E210" i="3"/>
  <c r="E209" i="3" s="1"/>
  <c r="E208" i="3"/>
  <c r="E207" i="3"/>
  <c r="E206" i="3" s="1"/>
  <c r="E205" i="3" s="1"/>
  <c r="G206" i="3"/>
  <c r="G205" i="3" s="1"/>
  <c r="F206" i="3"/>
  <c r="F205" i="3" s="1"/>
  <c r="E204" i="3"/>
  <c r="E203" i="3"/>
  <c r="E202" i="3"/>
  <c r="E201" i="3"/>
  <c r="E200" i="3"/>
  <c r="E199" i="3" s="1"/>
  <c r="G199" i="3"/>
  <c r="F199" i="3"/>
  <c r="E198" i="3"/>
  <c r="E197" i="3" s="1"/>
  <c r="G197" i="3"/>
  <c r="F197" i="3"/>
  <c r="E196" i="3"/>
  <c r="E194" i="3"/>
  <c r="E191" i="3"/>
  <c r="E190" i="3"/>
  <c r="E189" i="3"/>
  <c r="E187" i="3" s="1"/>
  <c r="E188" i="3"/>
  <c r="G187" i="3"/>
  <c r="F187" i="3"/>
  <c r="E186" i="3"/>
  <c r="E185" i="3"/>
  <c r="E184" i="3"/>
  <c r="E183" i="3"/>
  <c r="E182" i="3"/>
  <c r="G181" i="3"/>
  <c r="F181" i="3"/>
  <c r="E181" i="3"/>
  <c r="E180" i="3"/>
  <c r="E177" i="3" s="1"/>
  <c r="E179" i="3"/>
  <c r="E178" i="3"/>
  <c r="G177" i="3"/>
  <c r="G176" i="3" s="1"/>
  <c r="F177" i="3"/>
  <c r="F176" i="3"/>
  <c r="E175" i="3"/>
  <c r="E174" i="3" s="1"/>
  <c r="H174" i="3"/>
  <c r="G174" i="3"/>
  <c r="F174" i="3"/>
  <c r="E173" i="3"/>
  <c r="H172" i="3" s="1"/>
  <c r="G172" i="3"/>
  <c r="F172" i="3"/>
  <c r="E172" i="3"/>
  <c r="E171" i="3"/>
  <c r="E170" i="3" s="1"/>
  <c r="H170" i="3"/>
  <c r="G170" i="3"/>
  <c r="G169" i="3" s="1"/>
  <c r="F170" i="3"/>
  <c r="F169" i="3" s="1"/>
  <c r="F215" i="3" s="1"/>
  <c r="E167" i="3"/>
  <c r="E166" i="3" s="1"/>
  <c r="G166" i="3"/>
  <c r="F166" i="3"/>
  <c r="F161" i="3" s="1"/>
  <c r="F168" i="3" s="1"/>
  <c r="E165" i="3"/>
  <c r="E162" i="3" s="1"/>
  <c r="E161" i="3" s="1"/>
  <c r="E168" i="3" s="1"/>
  <c r="E164" i="3"/>
  <c r="E163" i="3"/>
  <c r="G162" i="3"/>
  <c r="F162" i="3"/>
  <c r="G161" i="3"/>
  <c r="G168" i="3" s="1"/>
  <c r="G158" i="3"/>
  <c r="F158" i="3"/>
  <c r="F157" i="3" s="1"/>
  <c r="E158" i="3"/>
  <c r="E157" i="3" s="1"/>
  <c r="H157" i="3" s="1"/>
  <c r="G157" i="3"/>
  <c r="E156" i="3"/>
  <c r="E155" i="3" s="1"/>
  <c r="E154" i="3" s="1"/>
  <c r="H154" i="3" s="1"/>
  <c r="G155" i="3"/>
  <c r="F155" i="3"/>
  <c r="F154" i="3" s="1"/>
  <c r="G154" i="3"/>
  <c r="I154" i="3" s="1"/>
  <c r="E153" i="3"/>
  <c r="G152" i="3"/>
  <c r="G151" i="3" s="1"/>
  <c r="F152" i="3"/>
  <c r="F151" i="3" s="1"/>
  <c r="E152" i="3"/>
  <c r="E151" i="3" s="1"/>
  <c r="E150" i="3"/>
  <c r="E149" i="3"/>
  <c r="E148" i="3"/>
  <c r="E146" i="3" s="1"/>
  <c r="E145" i="3" s="1"/>
  <c r="E147" i="3"/>
  <c r="G146" i="3"/>
  <c r="G145" i="3" s="1"/>
  <c r="F146" i="3"/>
  <c r="F145" i="3" s="1"/>
  <c r="F144" i="3"/>
  <c r="E144" i="3"/>
  <c r="F142" i="3"/>
  <c r="F138" i="3" s="1"/>
  <c r="E142" i="3"/>
  <c r="E141" i="3"/>
  <c r="G140" i="3"/>
  <c r="E140" i="3"/>
  <c r="E139" i="3"/>
  <c r="E138" i="3" s="1"/>
  <c r="G138" i="3"/>
  <c r="E137" i="3"/>
  <c r="G136" i="3"/>
  <c r="F136" i="3"/>
  <c r="E136" i="3"/>
  <c r="E135" i="3"/>
  <c r="E134" i="3"/>
  <c r="F133" i="3"/>
  <c r="E133" i="3"/>
  <c r="F132" i="3"/>
  <c r="E132" i="3"/>
  <c r="E131" i="3"/>
  <c r="E130" i="3"/>
  <c r="E129" i="3"/>
  <c r="E128" i="3"/>
  <c r="E127" i="3"/>
  <c r="E126" i="3" s="1"/>
  <c r="G126" i="3"/>
  <c r="G115" i="3" s="1"/>
  <c r="F126" i="3"/>
  <c r="E125" i="3"/>
  <c r="E124" i="3"/>
  <c r="E123" i="3"/>
  <c r="G122" i="3"/>
  <c r="E122" i="3"/>
  <c r="F121" i="3"/>
  <c r="E121" i="3"/>
  <c r="G120" i="3"/>
  <c r="F120" i="3"/>
  <c r="E120" i="3"/>
  <c r="F119" i="3"/>
  <c r="E119" i="3"/>
  <c r="E118" i="3"/>
  <c r="F117" i="3"/>
  <c r="F116" i="3" s="1"/>
  <c r="E117" i="3"/>
  <c r="E116" i="3" s="1"/>
  <c r="G116" i="3"/>
  <c r="E114" i="3"/>
  <c r="F113" i="3"/>
  <c r="E113" i="3"/>
  <c r="E112" i="3" s="1"/>
  <c r="G112" i="3"/>
  <c r="F112" i="3"/>
  <c r="F111" i="3"/>
  <c r="E111" i="3"/>
  <c r="G110" i="3"/>
  <c r="F110" i="3"/>
  <c r="E110" i="3"/>
  <c r="E109" i="3"/>
  <c r="F108" i="3"/>
  <c r="F106" i="3" s="1"/>
  <c r="F105" i="3" s="1"/>
  <c r="I105" i="3" s="1"/>
  <c r="E108" i="3"/>
  <c r="E106" i="3" s="1"/>
  <c r="F107" i="3"/>
  <c r="E107" i="3"/>
  <c r="G106" i="3"/>
  <c r="G105" i="3"/>
  <c r="G96" i="3"/>
  <c r="E95" i="3"/>
  <c r="G94" i="3"/>
  <c r="F94" i="3"/>
  <c r="E94" i="3"/>
  <c r="E93" i="3" s="1"/>
  <c r="G93" i="3"/>
  <c r="G92" i="3" s="1"/>
  <c r="F93" i="3"/>
  <c r="F92" i="3" s="1"/>
  <c r="G89" i="3"/>
  <c r="G88" i="3" s="1"/>
  <c r="G87" i="3" s="1"/>
  <c r="G91" i="3" s="1"/>
  <c r="F89" i="3"/>
  <c r="F88" i="3" s="1"/>
  <c r="F87" i="3" s="1"/>
  <c r="F91" i="3" s="1"/>
  <c r="E89" i="3"/>
  <c r="E88" i="3" s="1"/>
  <c r="E87" i="3" s="1"/>
  <c r="E91" i="3" s="1"/>
  <c r="E85" i="3"/>
  <c r="E84" i="3" s="1"/>
  <c r="E83" i="3" s="1"/>
  <c r="E82" i="3" s="1"/>
  <c r="E86" i="3" s="1"/>
  <c r="G84" i="3"/>
  <c r="F84" i="3"/>
  <c r="F83" i="3" s="1"/>
  <c r="F82" i="3" s="1"/>
  <c r="F86" i="3" s="1"/>
  <c r="G83" i="3"/>
  <c r="G82" i="3" s="1"/>
  <c r="G86" i="3" s="1"/>
  <c r="G79" i="3"/>
  <c r="F79" i="3"/>
  <c r="F78" i="3" s="1"/>
  <c r="E79" i="3"/>
  <c r="E78" i="3" s="1"/>
  <c r="G78" i="3"/>
  <c r="E77" i="3"/>
  <c r="E76" i="3"/>
  <c r="E75" i="3" s="1"/>
  <c r="E74" i="3" s="1"/>
  <c r="G75" i="3"/>
  <c r="G74" i="3" s="1"/>
  <c r="G73" i="3" s="1"/>
  <c r="G81" i="3" s="1"/>
  <c r="F75" i="3"/>
  <c r="F74" i="3" s="1"/>
  <c r="F73" i="3" s="1"/>
  <c r="F81" i="3" s="1"/>
  <c r="E71" i="3"/>
  <c r="G70" i="3"/>
  <c r="G69" i="3" s="1"/>
  <c r="F70" i="3"/>
  <c r="E70" i="3"/>
  <c r="E69" i="3" s="1"/>
  <c r="F69" i="3"/>
  <c r="E68" i="3"/>
  <c r="G67" i="3"/>
  <c r="F67" i="3"/>
  <c r="F66" i="3" s="1"/>
  <c r="F62" i="3" s="1"/>
  <c r="F72" i="3" s="1"/>
  <c r="E67" i="3"/>
  <c r="E66" i="3" s="1"/>
  <c r="G66" i="3"/>
  <c r="E65" i="3"/>
  <c r="G64" i="3"/>
  <c r="G63" i="3" s="1"/>
  <c r="F64" i="3"/>
  <c r="F63" i="3" s="1"/>
  <c r="E64" i="3"/>
  <c r="E63" i="3"/>
  <c r="F61" i="3"/>
  <c r="E60" i="3"/>
  <c r="G59" i="3"/>
  <c r="F59" i="3"/>
  <c r="E59" i="3"/>
  <c r="G58" i="3"/>
  <c r="G57" i="3" s="1"/>
  <c r="F58" i="3"/>
  <c r="F57" i="3" s="1"/>
  <c r="E58" i="3"/>
  <c r="E57" i="3" s="1"/>
  <c r="E55" i="3"/>
  <c r="G54" i="3"/>
  <c r="G53" i="3" s="1"/>
  <c r="G48" i="3" s="1"/>
  <c r="G56" i="3" s="1"/>
  <c r="F54" i="3"/>
  <c r="F53" i="3" s="1"/>
  <c r="E54" i="3"/>
  <c r="E53" i="3" s="1"/>
  <c r="E52" i="3"/>
  <c r="E51" i="3"/>
  <c r="E50" i="3" s="1"/>
  <c r="E49" i="3" s="1"/>
  <c r="E48" i="3" s="1"/>
  <c r="E56" i="3" s="1"/>
  <c r="G50" i="3"/>
  <c r="F50" i="3"/>
  <c r="G49" i="3"/>
  <c r="F49" i="3"/>
  <c r="F48" i="3" s="1"/>
  <c r="F56" i="3" s="1"/>
  <c r="E46" i="3"/>
  <c r="E45" i="3"/>
  <c r="G44" i="3"/>
  <c r="G43" i="3" s="1"/>
  <c r="G47" i="3" s="1"/>
  <c r="F44" i="3"/>
  <c r="F43" i="3" s="1"/>
  <c r="F47" i="3" s="1"/>
  <c r="E44" i="3"/>
  <c r="E43" i="3" s="1"/>
  <c r="E47" i="3" s="1"/>
  <c r="G40" i="3"/>
  <c r="F40" i="3"/>
  <c r="F39" i="3" s="1"/>
  <c r="E40" i="3"/>
  <c r="E39" i="3" s="1"/>
  <c r="G39" i="3"/>
  <c r="E38" i="3"/>
  <c r="E37" i="3"/>
  <c r="E36" i="3" s="1"/>
  <c r="E35" i="3" s="1"/>
  <c r="G36" i="3"/>
  <c r="G35" i="3" s="1"/>
  <c r="F36" i="3"/>
  <c r="F35" i="3"/>
  <c r="E34" i="3"/>
  <c r="E33" i="3" s="1"/>
  <c r="E32" i="3" s="1"/>
  <c r="G33" i="3"/>
  <c r="G32" i="3" s="1"/>
  <c r="F33" i="3"/>
  <c r="F32" i="3"/>
  <c r="E31" i="3"/>
  <c r="F30" i="3"/>
  <c r="E30" i="3"/>
  <c r="G29" i="3"/>
  <c r="F29" i="3"/>
  <c r="F28" i="3" s="1"/>
  <c r="F27" i="3" s="1"/>
  <c r="F42" i="3" s="1"/>
  <c r="E29" i="3"/>
  <c r="E28" i="3" s="1"/>
  <c r="G28" i="3"/>
  <c r="G27" i="3" s="1"/>
  <c r="G42" i="3" s="1"/>
  <c r="E25" i="3"/>
  <c r="E24" i="3" s="1"/>
  <c r="E23" i="3" s="1"/>
  <c r="G24" i="3"/>
  <c r="G23" i="3" s="1"/>
  <c r="F24" i="3"/>
  <c r="F23" i="3"/>
  <c r="E22" i="3"/>
  <c r="E21" i="3"/>
  <c r="F20" i="3"/>
  <c r="E20" i="3"/>
  <c r="G19" i="3"/>
  <c r="F19" i="3"/>
  <c r="E19" i="3"/>
  <c r="G17" i="3"/>
  <c r="F17" i="3"/>
  <c r="E17" i="3"/>
  <c r="E16" i="3"/>
  <c r="E15" i="3" s="1"/>
  <c r="G15" i="3"/>
  <c r="F15" i="3"/>
  <c r="E14" i="3"/>
  <c r="E13" i="3"/>
  <c r="G12" i="3"/>
  <c r="F12" i="3"/>
  <c r="F6" i="3" s="1"/>
  <c r="F5" i="3" s="1"/>
  <c r="F26" i="3" s="1"/>
  <c r="E12" i="3"/>
  <c r="E11" i="3"/>
  <c r="E9" i="3" s="1"/>
  <c r="E10" i="3"/>
  <c r="G9" i="3"/>
  <c r="F9" i="3"/>
  <c r="E8" i="3"/>
  <c r="G7" i="3"/>
  <c r="F7" i="3"/>
  <c r="E7" i="3"/>
  <c r="G6" i="3"/>
  <c r="H18" i="2"/>
  <c r="G18" i="2"/>
  <c r="G20" i="2" s="1"/>
  <c r="F18" i="2"/>
  <c r="F17" i="2"/>
  <c r="F16" i="2"/>
  <c r="G10" i="2"/>
  <c r="H9" i="2"/>
  <c r="H7" i="2" s="1"/>
  <c r="H8" i="2"/>
  <c r="G7" i="2"/>
  <c r="F7" i="2"/>
  <c r="H4" i="2"/>
  <c r="G4" i="2"/>
  <c r="F4" i="2"/>
  <c r="F10" i="2" s="1"/>
  <c r="I2038" i="4" l="1"/>
  <c r="H433" i="3"/>
  <c r="I433" i="3"/>
  <c r="E176" i="3"/>
  <c r="H173" i="3" s="1"/>
  <c r="H253" i="3"/>
  <c r="I254" i="3"/>
  <c r="H305" i="3"/>
  <c r="I305" i="3"/>
  <c r="F316" i="3"/>
  <c r="I324" i="3"/>
  <c r="H324" i="3"/>
  <c r="F404" i="3"/>
  <c r="F425" i="3" s="1"/>
  <c r="I115" i="3"/>
  <c r="I274" i="3"/>
  <c r="H317" i="3"/>
  <c r="G334" i="3"/>
  <c r="I317" i="3"/>
  <c r="H362" i="3"/>
  <c r="I362" i="3"/>
  <c r="H404" i="3"/>
  <c r="H400" i="3"/>
  <c r="E115" i="3"/>
  <c r="H115" i="3" s="1"/>
  <c r="F160" i="3"/>
  <c r="I216" i="3"/>
  <c r="H216" i="3"/>
  <c r="E267" i="3"/>
  <c r="I444" i="3"/>
  <c r="G463" i="3"/>
  <c r="F115" i="3"/>
  <c r="G160" i="3"/>
  <c r="I145" i="3"/>
  <c r="H145" i="3"/>
  <c r="E216" i="3"/>
  <c r="E266" i="3"/>
  <c r="E340" i="3"/>
  <c r="I367" i="3"/>
  <c r="I422" i="3"/>
  <c r="H422" i="3"/>
  <c r="G443" i="3"/>
  <c r="I434" i="3"/>
  <c r="H434" i="3"/>
  <c r="H401" i="3"/>
  <c r="G425" i="3"/>
  <c r="I401" i="3"/>
  <c r="E92" i="3"/>
  <c r="E96" i="3"/>
  <c r="I151" i="3"/>
  <c r="H151" i="3"/>
  <c r="E370" i="3"/>
  <c r="G389" i="3"/>
  <c r="I371" i="3"/>
  <c r="G5" i="3"/>
  <c r="I86" i="3"/>
  <c r="H86" i="3"/>
  <c r="G316" i="3"/>
  <c r="G370" i="3"/>
  <c r="I335" i="3"/>
  <c r="H335" i="3"/>
  <c r="H355" i="3"/>
  <c r="I355" i="3"/>
  <c r="H205" i="3"/>
  <c r="I205" i="3"/>
  <c r="F274" i="3"/>
  <c r="I56" i="3"/>
  <c r="H56" i="3"/>
  <c r="I157" i="3"/>
  <c r="F266" i="3"/>
  <c r="E274" i="3"/>
  <c r="H274" i="3" s="1"/>
  <c r="I330" i="3"/>
  <c r="I386" i="3"/>
  <c r="H386" i="3"/>
  <c r="E426" i="3"/>
  <c r="H340" i="3"/>
  <c r="I47" i="3"/>
  <c r="H47" i="3"/>
  <c r="G266" i="3"/>
  <c r="I259" i="3"/>
  <c r="H259" i="3"/>
  <c r="I81" i="3"/>
  <c r="H81" i="3"/>
  <c r="G215" i="3"/>
  <c r="I169" i="3"/>
  <c r="I311" i="3"/>
  <c r="H311" i="3"/>
  <c r="I359" i="3"/>
  <c r="H359" i="3"/>
  <c r="H476" i="3"/>
  <c r="E484" i="3"/>
  <c r="H484" i="3" s="1"/>
  <c r="I42" i="3"/>
  <c r="G62" i="3"/>
  <c r="G72" i="3" s="1"/>
  <c r="E73" i="3"/>
  <c r="E81" i="3" s="1"/>
  <c r="I91" i="3"/>
  <c r="H91" i="3"/>
  <c r="I176" i="3"/>
  <c r="H176" i="3"/>
  <c r="I209" i="3"/>
  <c r="H209" i="3"/>
  <c r="I419" i="3"/>
  <c r="E6" i="3"/>
  <c r="E5" i="3" s="1"/>
  <c r="E26" i="3" s="1"/>
  <c r="E27" i="3"/>
  <c r="E42" i="3" s="1"/>
  <c r="H42" i="3" s="1"/>
  <c r="E62" i="3"/>
  <c r="E72" i="3" s="1"/>
  <c r="H168" i="3"/>
  <c r="I168" i="3"/>
  <c r="E169" i="3"/>
  <c r="H169" i="3" s="1"/>
  <c r="I223" i="3"/>
  <c r="H223" i="3"/>
  <c r="H220" i="3"/>
  <c r="F340" i="3"/>
  <c r="F370" i="3" s="1"/>
  <c r="E105" i="3"/>
  <c r="H105" i="3" s="1"/>
  <c r="F98" i="3"/>
  <c r="E371" i="3"/>
  <c r="E389" i="3" s="1"/>
  <c r="G391" i="3"/>
  <c r="G390" i="3" s="1"/>
  <c r="G475" i="3"/>
  <c r="G492" i="3"/>
  <c r="G491" i="3" s="1"/>
  <c r="H235" i="3"/>
  <c r="E328" i="3"/>
  <c r="E61" i="3"/>
  <c r="F96" i="3"/>
  <c r="E255" i="3"/>
  <c r="E254" i="3" s="1"/>
  <c r="H252" i="3" s="1"/>
  <c r="E292" i="3"/>
  <c r="H280" i="3" s="1"/>
  <c r="G61" i="3"/>
  <c r="G397" i="3"/>
  <c r="H464" i="3"/>
  <c r="H226" i="3"/>
  <c r="H224" i="3" s="1"/>
  <c r="F426" i="3"/>
  <c r="F484" i="3"/>
  <c r="I484" i="3" s="1"/>
  <c r="E219" i="3"/>
  <c r="G426" i="3"/>
  <c r="E447" i="3"/>
  <c r="E444" i="3" s="1"/>
  <c r="H330" i="3"/>
  <c r="G488" i="3"/>
  <c r="G485" i="3" s="1"/>
  <c r="H10" i="2"/>
  <c r="H20" i="2" s="1"/>
  <c r="F20" i="2"/>
  <c r="F497" i="3" l="1"/>
  <c r="F400" i="3"/>
  <c r="G490" i="3"/>
  <c r="I485" i="3"/>
  <c r="H485" i="3"/>
  <c r="E463" i="3"/>
  <c r="H444" i="3"/>
  <c r="I426" i="3"/>
  <c r="H426" i="3"/>
  <c r="I266" i="3"/>
  <c r="H266" i="3"/>
  <c r="I370" i="3"/>
  <c r="H370" i="3"/>
  <c r="F104" i="3"/>
  <c r="F496" i="3"/>
  <c r="F495" i="3" s="1"/>
  <c r="I491" i="3"/>
  <c r="H491" i="3"/>
  <c r="G494" i="3"/>
  <c r="H408" i="3"/>
  <c r="I425" i="3"/>
  <c r="H425" i="3"/>
  <c r="I475" i="3"/>
  <c r="H475" i="3"/>
  <c r="E160" i="3"/>
  <c r="H160" i="3" s="1"/>
  <c r="H371" i="3"/>
  <c r="H293" i="3"/>
  <c r="H316" i="3"/>
  <c r="I316" i="3"/>
  <c r="E215" i="3"/>
  <c r="G104" i="3"/>
  <c r="I160" i="3"/>
  <c r="I390" i="3"/>
  <c r="H390" i="3"/>
  <c r="I340" i="3"/>
  <c r="I5" i="3"/>
  <c r="H5" i="3"/>
  <c r="G26" i="3"/>
  <c r="I400" i="3"/>
  <c r="G394" i="3"/>
  <c r="H396" i="3"/>
  <c r="I443" i="3"/>
  <c r="H443" i="3"/>
  <c r="I404" i="3"/>
  <c r="H72" i="3"/>
  <c r="I72" i="3"/>
  <c r="I215" i="3"/>
  <c r="H215" i="3"/>
  <c r="I389" i="3"/>
  <c r="H389" i="3"/>
  <c r="I463" i="3"/>
  <c r="H463" i="3"/>
  <c r="H448" i="3"/>
  <c r="F97" i="3"/>
  <c r="F99" i="3"/>
  <c r="E98" i="3"/>
  <c r="E316" i="3"/>
  <c r="I334" i="3"/>
  <c r="H334" i="3"/>
  <c r="H254" i="3"/>
  <c r="I61" i="3"/>
  <c r="H61" i="3"/>
  <c r="G98" i="3" l="1"/>
  <c r="I26" i="3"/>
  <c r="H26" i="3"/>
  <c r="I490" i="3"/>
  <c r="H490" i="3"/>
  <c r="H489" i="3"/>
  <c r="E97" i="3"/>
  <c r="E99" i="3" s="1"/>
  <c r="G496" i="3"/>
  <c r="I104" i="3"/>
  <c r="G495" i="3"/>
  <c r="E104" i="3"/>
  <c r="H104" i="3" s="1"/>
  <c r="E496" i="3"/>
  <c r="G400" i="3"/>
  <c r="I393" i="3"/>
  <c r="H393" i="3"/>
  <c r="G399" i="3"/>
  <c r="H398" i="3" s="1"/>
  <c r="G497" i="3"/>
  <c r="I494" i="3"/>
  <c r="H494" i="3"/>
  <c r="H493" i="3"/>
  <c r="E400" i="3"/>
  <c r="E495" i="3" l="1"/>
  <c r="E497" i="3"/>
  <c r="H496" i="3" s="1"/>
  <c r="I399" i="3"/>
  <c r="H399" i="3"/>
  <c r="G97" i="3"/>
  <c r="G99" i="3"/>
  <c r="I49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22" authorId="0" shapeId="0" xr:uid="{98F3F92C-9662-483B-8E82-F35A6D868155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maknuli razliku koja je proknjižena u međuvremenu</t>
        </r>
      </text>
    </comment>
    <comment ref="G140" authorId="0" shapeId="0" xr:uid="{3661F06C-75EB-4830-9A6D-0082AB6D0BF4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maknuli razliku koja je proknjižena u međuvremenu</t>
        </r>
      </text>
    </comment>
  </commentList>
</comments>
</file>

<file path=xl/sharedStrings.xml><?xml version="1.0" encoding="utf-8"?>
<sst xmlns="http://schemas.openxmlformats.org/spreadsheetml/2006/main" count="7923" uniqueCount="2697">
  <si>
    <t>POLUGODIŠNJI IZVJEŠTAJ O IZVRŠENJU FINANCIJSKOG PLANA ZA 2023.g.</t>
  </si>
  <si>
    <t>SAŽETAK RAČUNA PRIHODA I RASHODA</t>
  </si>
  <si>
    <t xml:space="preserve">PRIHODI/RASHODI TEKUĆA GODINA </t>
  </si>
  <si>
    <t>Izvršenje prethodne godine</t>
  </si>
  <si>
    <t>Plan tekuće godine</t>
  </si>
  <si>
    <t xml:space="preserve">Izvršenje tekuće godine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</si>
  <si>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</si>
  <si>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</si>
  <si>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</si>
  <si>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</si>
  <si>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</si>
  <si>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</si>
  <si>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</si>
  <si>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SAŽETAK RAČUNA FINANCIRANJA</t>
  </si>
  <si>
    <t xml:space="preserve">RAČUN FINANCIRANJA 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</si>
  <si>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</si>
  <si>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</si>
  <si>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</si>
  <si>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</si>
  <si>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</si>
  <si>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</si>
  <si>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
PRIHODI POSLOVANJA I PRIHODI OD PRODAJE NEFINANCIJSKE IMOVINE</t>
  </si>
  <si>
    <t>Razred</t>
  </si>
  <si>
    <t xml:space="preserve">Skupina/podskupina/odjeljak </t>
  </si>
  <si>
    <t>Izvor</t>
  </si>
  <si>
    <t xml:space="preserve">Naziv </t>
  </si>
  <si>
    <t>Izvršenje prethodne godine- riješeno</t>
  </si>
  <si>
    <t>Indeks</t>
  </si>
  <si>
    <t>5=4/2*100</t>
  </si>
  <si>
    <t>6=4/3*100</t>
  </si>
  <si>
    <t xml:space="preserve">Prihodi poslovanja </t>
  </si>
  <si>
    <t>Pomoći iz inozemstva i od subjekata unutar općeg proračuna</t>
  </si>
  <si>
    <t>631</t>
  </si>
  <si>
    <t>Pomoći od inozemnih vlada</t>
  </si>
  <si>
    <t>6311</t>
  </si>
  <si>
    <t>Tekuće pomoći od inozemnih vlada izvan EU</t>
  </si>
  <si>
    <t>632</t>
  </si>
  <si>
    <t>Pomoći od međunarodnih organizacija te institucija i tijela EU</t>
  </si>
  <si>
    <t>6321</t>
  </si>
  <si>
    <t>Tekuće pomoći od međunarodnih organizacija</t>
  </si>
  <si>
    <t>6322</t>
  </si>
  <si>
    <t>Kapitalne pomoći od međunarodnih organizacija</t>
  </si>
  <si>
    <t>634</t>
  </si>
  <si>
    <t>Pomoći od izvanproračunskih korisnika</t>
  </si>
  <si>
    <t>6341</t>
  </si>
  <si>
    <t>Tekuće pomoći od ostalih izvanproračunskih korisnika</t>
  </si>
  <si>
    <t>6342</t>
  </si>
  <si>
    <t>Kapitalne pomoći od ostalih izvanproračunskih korisnika drž. Pror.</t>
  </si>
  <si>
    <t>636</t>
  </si>
  <si>
    <t xml:space="preserve">Pomoći proračunskim korisnicima iz proračuna koji im nije nadležan </t>
  </si>
  <si>
    <t>6361</t>
  </si>
  <si>
    <t>Tekuće pomoći pror. Korisnicima iz proračuna koji im nije nadležan</t>
  </si>
  <si>
    <t>638</t>
  </si>
  <si>
    <t>Pomoći temeljem prijenosa EU sredstava</t>
  </si>
  <si>
    <t>6381</t>
  </si>
  <si>
    <t>Tekuće pomoći temeljem prijenosa EU sredstava iz proračuna</t>
  </si>
  <si>
    <t>639</t>
  </si>
  <si>
    <t>Prijenosi između proračunskih korisnika istog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</si>
  <si>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</si>
  <si>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</si>
  <si>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</si>
  <si>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</si>
  <si>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</si>
  <si>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pror. Korisnika istog pror. Temeljem prij. EU sredst.</t>
  </si>
  <si>
    <t>68</t>
  </si>
  <si>
    <t>Kazne, upravne mjere i ostali prihodi</t>
  </si>
  <si>
    <t>683</t>
  </si>
  <si>
    <t>Ostali prihodi</t>
  </si>
  <si>
    <t>6831</t>
  </si>
  <si>
    <t>Ostale pomoći</t>
  </si>
  <si>
    <t>Prihodi od imovine</t>
  </si>
  <si>
    <t>Prihodi od financijske imovine</t>
  </si>
  <si>
    <t>Kamate na depozite po viđenju</t>
  </si>
  <si>
    <t>Prihodi od pozitivnih tečajnih razlika</t>
  </si>
  <si>
    <t>Prihodi od upravnih i administrativnih pristojbi, pristojbi po posebnim propisima i naknada</t>
  </si>
  <si>
    <t>Prihodi po posebnim propisima</t>
  </si>
  <si>
    <t>Prihodi od upisnina, indeksa, inodiploma, promocija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</si>
  <si>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</si>
  <si>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</si>
  <si>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</si>
  <si>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</si>
  <si>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robe</t>
  </si>
  <si>
    <t>6615</t>
  </si>
  <si>
    <t>Prihodi od pruženih usluga</t>
  </si>
  <si>
    <t>31</t>
  </si>
  <si>
    <t xml:space="preserve"> Vlastiti prihodi </t>
  </si>
  <si>
    <t>Donacije od pravnih i fizičkih osoba izvan općeg proračuna i povrat donacija po protestiranim jamstvima</t>
  </si>
  <si>
    <t>Tekuće donacije</t>
  </si>
  <si>
    <t>6632</t>
  </si>
  <si>
    <t>Kapitalne donacije</t>
  </si>
  <si>
    <t>61</t>
  </si>
  <si>
    <t xml:space="preserve">Donacije 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</si>
  <si>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</si>
  <si>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</si>
  <si>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</si>
  <si>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</si>
  <si>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</si>
  <si>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</si>
  <si>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</si>
  <si>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11</t>
  </si>
  <si>
    <t>Opći prihodi i primici</t>
  </si>
  <si>
    <t>Prihodi za financiranje rashoda za nabavu nefinancijske imovine-nacionalno sufinanciranje EU projekata</t>
  </si>
  <si>
    <t>Sredstva učešća za pomoći</t>
  </si>
  <si>
    <t xml:space="preserve">Ostali nespomenuti prihodi </t>
  </si>
  <si>
    <t>Ostali prihodi za posebne namjene</t>
  </si>
  <si>
    <t>Tekuće pomoći od institucija i tijela EU</t>
  </si>
  <si>
    <t>Kapitalne pomoći od institucija i tijela EU</t>
  </si>
  <si>
    <t>Kamate za depozite po viđenju</t>
  </si>
  <si>
    <t>Europski fond za regionalni razvoj (EFRR)</t>
  </si>
  <si>
    <t>Pomoći EU</t>
  </si>
  <si>
    <t>Prihodi od prodaje proizvoda i robe te pruženih usluga, prihodi od donacija te povrati po protestiranim jamstvima</t>
  </si>
  <si>
    <t>Tekuće donacije od neprofitnih organizacija</t>
  </si>
  <si>
    <t>Inozemne donacije</t>
  </si>
  <si>
    <t>Prihodi od prodaje neproizvedene dugotrajne imovine</t>
  </si>
  <si>
    <t>Prihodi od prodaje materijalne imovine - prirodnih bogatstava</t>
  </si>
  <si>
    <t>Prihodi od nef. Imovine</t>
  </si>
  <si>
    <t>Ukupni prihodi (6)</t>
  </si>
  <si>
    <t>Ukupni prihodi (6+7)</t>
  </si>
  <si>
    <t>A2. RASHODI POSLOVANJA I RASHODI ZA NABAVU NEFINANCIJSKE IMOVINE</t>
  </si>
  <si>
    <t>Rashodi poslovanja</t>
  </si>
  <si>
    <t>Rashodi za zaposlene</t>
  </si>
  <si>
    <t>Plaće (bruto)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</si>
  <si>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</si>
  <si>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</si>
  <si>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</si>
  <si>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</si>
  <si>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</si>
  <si>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</si>
  <si>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</si>
  <si>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</si>
  <si>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Nagrade, darovi..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</si>
  <si>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</si>
  <si>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</si>
  <si>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</si>
  <si>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</si>
  <si>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</si>
  <si>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</si>
  <si>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</si>
  <si>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</si>
  <si>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</si>
  <si>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</si>
  <si>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Seminari, savjetovanja i simpoziji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</si>
  <si>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</si>
  <si>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</si>
  <si>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</si>
  <si>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</si>
  <si>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</si>
  <si>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</si>
  <si>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</si>
  <si>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</si>
  <si>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</si>
  <si>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</si>
  <si>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</si>
  <si>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</si>
  <si>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</si>
  <si>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</si>
  <si>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</si>
  <si>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</si>
  <si>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</si>
  <si>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</si>
  <si>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</si>
  <si>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</si>
  <si>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</si>
  <si>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</si>
  <si>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</si>
  <si>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</si>
  <si>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</si>
  <si>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</si>
  <si>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</si>
  <si>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</si>
  <si>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</si>
  <si>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</si>
  <si>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</si>
  <si>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</si>
  <si>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</si>
  <si>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</si>
  <si>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</si>
  <si>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službenog puta</t>
  </si>
  <si>
    <t>329</t>
  </si>
  <si>
    <t>Ostali nespomenuti rashodi poslovanja</t>
  </si>
  <si>
    <t>3292</t>
  </si>
  <si>
    <t>Premije osiguranja prijevoznih sredstava</t>
  </si>
  <si>
    <t>3293</t>
  </si>
  <si>
    <t>Reprezentacija</t>
  </si>
  <si>
    <t>3294</t>
  </si>
  <si>
    <t>Tuzemne članarine</t>
  </si>
  <si>
    <t>3295</t>
  </si>
  <si>
    <t>Pristojbe</t>
  </si>
  <si>
    <t>3296</t>
  </si>
  <si>
    <t>Troškovi sudskih postupaka</t>
  </si>
  <si>
    <t>3299</t>
  </si>
  <si>
    <t>Ostali rashodi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</si>
  <si>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</si>
  <si>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</si>
  <si>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</si>
  <si>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</si>
  <si>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</si>
  <si>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</si>
  <si>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</si>
  <si>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</si>
  <si>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</si>
  <si>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</si>
  <si>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</si>
  <si>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</si>
  <si>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36</t>
  </si>
  <si>
    <t>Pomoći dane u inozemstvo i unutar općeg proračuna</t>
  </si>
  <si>
    <t>369</t>
  </si>
  <si>
    <t>3691</t>
  </si>
  <si>
    <t>Tekući prijenosi između korisnika istog proračuna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</si>
  <si>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</si>
  <si>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</si>
  <si>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</si>
  <si>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</si>
  <si>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</si>
  <si>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</si>
  <si>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</si>
  <si>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381</t>
  </si>
  <si>
    <t>3811</t>
  </si>
  <si>
    <t>Tekuće donacije u novcu</t>
  </si>
  <si>
    <t xml:space="preserve"> Opći prihodi i primici</t>
  </si>
  <si>
    <t>Pristojbe i naknade</t>
  </si>
  <si>
    <t>12</t>
  </si>
  <si>
    <t>311</t>
  </si>
  <si>
    <t>3111</t>
  </si>
  <si>
    <t>313</t>
  </si>
  <si>
    <t>3132</t>
  </si>
  <si>
    <t>32</t>
  </si>
  <si>
    <t>321</t>
  </si>
  <si>
    <t>Stručno usavršavanje zaposlenika</t>
  </si>
  <si>
    <t>Ostale usluge promidžbe i informiranja</t>
  </si>
  <si>
    <t>Premije osiguranja</t>
  </si>
  <si>
    <t>Članarine i norme</t>
  </si>
  <si>
    <t>Usluge banaka</t>
  </si>
  <si>
    <t>Negativne tečajne razlike</t>
  </si>
  <si>
    <t xml:space="preserve">Vlastiti prihodi </t>
  </si>
  <si>
    <t xml:space="preserve">Ostali rashodi za zaposlene </t>
  </si>
  <si>
    <t>Naknada za korištenje privatnog automobila u službene svrhe</t>
  </si>
  <si>
    <t>Ostale računalne usluge</t>
  </si>
  <si>
    <t>3291</t>
  </si>
  <si>
    <t>Naknade za rad predstavničkih i izvršnih tijela, povjerenstava i slično</t>
  </si>
  <si>
    <t>Tekuće donacijeu novcu</t>
  </si>
  <si>
    <t>Tekuće donacije u naravi</t>
  </si>
  <si>
    <t>43</t>
  </si>
  <si>
    <t>Plaće za zaposlenike- vlastita sredstva</t>
  </si>
  <si>
    <t>Naknada za prijevoz</t>
  </si>
  <si>
    <t>Motorni benzin i dizel gorivo</t>
  </si>
  <si>
    <t>Materijal i dijelovi za tekuće i investicijsko održavanje postrojenja i opreme</t>
  </si>
  <si>
    <t>Poštarina</t>
  </si>
  <si>
    <t>Usluge tekućeg i investicijskog održavanja postrojenja i opreme</t>
  </si>
  <si>
    <t>Promidžbeni materijali</t>
  </si>
  <si>
    <t>Laboratorijske usluge</t>
  </si>
  <si>
    <t xml:space="preserve">Naknade troškova osobama izvan radnog odnosa </t>
  </si>
  <si>
    <t>361</t>
  </si>
  <si>
    <t>Pomoći inozemnim vladama</t>
  </si>
  <si>
    <t>3611</t>
  </si>
  <si>
    <t>Tekuće pomoći inozemnim vladama EU</t>
  </si>
  <si>
    <t>3693</t>
  </si>
  <si>
    <t>3722</t>
  </si>
  <si>
    <t>Sufinanciranje cijene prijevoza</t>
  </si>
  <si>
    <t>3723</t>
  </si>
  <si>
    <t>Naknade građanima i kućanstvima iz EU sredstava</t>
  </si>
  <si>
    <t>Pomoći</t>
  </si>
  <si>
    <t>51</t>
  </si>
  <si>
    <t>Materijal i sirovine</t>
  </si>
  <si>
    <t>35</t>
  </si>
  <si>
    <t>Subvencije</t>
  </si>
  <si>
    <t>Subvencije trgovačkim društvima, zadrugama, poljop. I obrt. Iz EU sredstava</t>
  </si>
  <si>
    <t>368</t>
  </si>
  <si>
    <t>3681</t>
  </si>
  <si>
    <t>Tekuće pomoći temeljem prijenosa EU sredstava</t>
  </si>
  <si>
    <t>Prijenosi između proračunskih korisnika istog proračuna temeljem prijenosa EU sredstava</t>
  </si>
  <si>
    <t>563</t>
  </si>
  <si>
    <t>Europski fond za regionalni razvoj</t>
  </si>
  <si>
    <t>Nakanade troškova osobama izvan radnog odnosa</t>
  </si>
  <si>
    <t>Nakande građanima i kućanstvima na temelju osiguranja i druge naknade</t>
  </si>
  <si>
    <t>Stipendije i školarine</t>
  </si>
  <si>
    <t>Donacije</t>
  </si>
  <si>
    <t xml:space="preserve">Rashodi za usluge </t>
  </si>
  <si>
    <t>94</t>
  </si>
  <si>
    <t>Prihodi za posebne namjene - višak</t>
  </si>
  <si>
    <t>95</t>
  </si>
  <si>
    <t>Pomoći  - višak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</si>
  <si>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</si>
  <si>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</si>
  <si>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</si>
  <si>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</si>
  <si>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</si>
  <si>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</si>
  <si>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</si>
  <si>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Rashodi za nabavu proizvedene dug. imovine</t>
  </si>
  <si>
    <t>421</t>
  </si>
  <si>
    <t>Građevinski objekti</t>
  </si>
  <si>
    <t>4212</t>
  </si>
  <si>
    <t>Poslovni objekti</t>
  </si>
  <si>
    <t>Postrojenja i oprema</t>
  </si>
  <si>
    <t>4221</t>
  </si>
  <si>
    <t>Uredska oprema i namještaj</t>
  </si>
  <si>
    <t>4222</t>
  </si>
  <si>
    <t>Telefoni i ostali komunikacijski uređaji</t>
  </si>
  <si>
    <t>4223</t>
  </si>
  <si>
    <t>Oprema za održavanje i zaštitu</t>
  </si>
  <si>
    <t>4224</t>
  </si>
  <si>
    <t>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</si>
  <si>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</si>
  <si>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</si>
  <si>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</si>
  <si>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</si>
  <si>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</si>
  <si>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</si>
  <si>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</si>
  <si>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</si>
  <si>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</si>
  <si>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</si>
  <si>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426</t>
  </si>
  <si>
    <t>Nematerijalna proizvedena imovina</t>
  </si>
  <si>
    <t>4262</t>
  </si>
  <si>
    <t>Ulaganje u računalne programe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</si>
  <si>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</si>
  <si>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</si>
  <si>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</si>
  <si>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</si>
  <si>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djela..</t>
  </si>
  <si>
    <t>45</t>
  </si>
  <si>
    <t>Rashodi za dodtana ulaganja na nefinancijskoj imovini</t>
  </si>
  <si>
    <t>451</t>
  </si>
  <si>
    <t>Dodatna ulaganja na građevinskim objektima</t>
  </si>
  <si>
    <t>4511</t>
  </si>
  <si>
    <t>422</t>
  </si>
  <si>
    <t>Medicinska i laboratorijska oprema</t>
  </si>
  <si>
    <t>423</t>
  </si>
  <si>
    <t>Prijevozna sredstva</t>
  </si>
  <si>
    <t>4231</t>
  </si>
  <si>
    <t>Prijevozna sredstva u cestovnom prometu</t>
  </si>
  <si>
    <t>Vlastiti prihodi</t>
  </si>
  <si>
    <t>Oprema za grijanje, ventilaciju i hlađenje</t>
  </si>
  <si>
    <t>Ostali instrumenti, uređaji i strojevi</t>
  </si>
  <si>
    <t>4244</t>
  </si>
  <si>
    <t>Ostale nespomenute izložbene vrijednosti</t>
  </si>
  <si>
    <t>Rashodi za dodatna ulaganja na nefinancijskoj imovini</t>
  </si>
  <si>
    <t>Komunikacijska oprema</t>
  </si>
  <si>
    <t>52</t>
  </si>
  <si>
    <t>Rashodi za nabavu proizvedene dugotrajne imovine</t>
  </si>
  <si>
    <t>93</t>
  </si>
  <si>
    <t>Vlastiti prihodi  - višak</t>
  </si>
  <si>
    <t>Ukupni rashodi (3)</t>
  </si>
  <si>
    <t>Ukupni rashodi (3+4)</t>
  </si>
  <si>
    <t>KORISNIK DRŽAVNOG PRORAČUNA</t>
  </si>
  <si>
    <t>Sveučilište Josipa Jurja Strossmayera u Osijeku- R+O</t>
  </si>
  <si>
    <t>RKP</t>
  </si>
  <si>
    <t>II. POSEBNI DIO</t>
  </si>
  <si>
    <t>AKTIVNOST</t>
  </si>
  <si>
    <t>OPIS AKTIVNOSTI</t>
  </si>
  <si>
    <t>IZVOR</t>
  </si>
  <si>
    <t>OPIS IZVORA</t>
  </si>
  <si>
    <t>SKUPINA RASHODA/ IZDATAKA</t>
  </si>
  <si>
    <t>IZVRŠENJE 
I-VI 2022.</t>
  </si>
  <si>
    <t xml:space="preserve">PLAN PRORAČUNA
ZA 2023. </t>
  </si>
  <si>
    <t>IZVRŠENJE
I-VI 2023.</t>
  </si>
  <si>
    <t>INDEKS (2023 / 2022)</t>
  </si>
  <si>
    <t>INDEKS (2023)</t>
  </si>
  <si>
    <t>Prijedlog plana za 2023.</t>
  </si>
  <si>
    <t>Projekcija plana za 2024.</t>
  </si>
  <si>
    <t>Projekcija plana za 2025.</t>
  </si>
  <si>
    <t>A621001</t>
  </si>
  <si>
    <t>REDOVNA DJELATNOST SVEUČILIŠTA U ZAGREBU</t>
  </si>
  <si>
    <t>A622122</t>
  </si>
  <si>
    <t>PROGRAMSKO FINANCIRANJE JAVNIH VISOKIH UČILIŠTA</t>
  </si>
  <si>
    <t>42</t>
  </si>
  <si>
    <t>A679078</t>
  </si>
  <si>
    <t>EU PROJEKTI SVEUČILIŠTA U ZAGREBU (IZ EVIDENCIJSKIH PRIHODA)</t>
  </si>
  <si>
    <t>A679088</t>
  </si>
  <si>
    <t>REDOVNA DJELATNOST SVEUČILIŠTA U ZAGREBU (IZ EVIDENCIJSKIH PRIHODA)</t>
  </si>
  <si>
    <t>K679084</t>
  </si>
  <si>
    <t>OP KONKURENTNOST I KOHEZIJA 2014.-2020., PRIORITET 1, 9 i 10</t>
  </si>
  <si>
    <t>Europski fond za regionalni razvoj (ERDF)</t>
  </si>
  <si>
    <t>K679116</t>
  </si>
  <si>
    <t>OBNOVA INFRASTRUKTURE I OPREME U PODRUČJU OBRAZOVANJA OŠTEĆENE POTRESOM</t>
  </si>
  <si>
    <t>Fond solidarnosti Europske unije – potres</t>
  </si>
  <si>
    <t>K679119</t>
  </si>
  <si>
    <t>OBNOVA ZGRADA OŠTEĆENIH U POTRESU S ENERGETSKOM OBNOVOM - NPOO (C6.1.R1-I2)</t>
  </si>
  <si>
    <t>Mehanizam za oporavak i otpornost</t>
  </si>
  <si>
    <t>A621038</t>
  </si>
  <si>
    <t>PROGRAMI VJEŽBAONICA VISOKIH UČILIŠTA</t>
  </si>
  <si>
    <t>A621181</t>
  </si>
  <si>
    <t>PRAVOMOĆNE SUDSKE PRESUDE</t>
  </si>
  <si>
    <t>A622012</t>
  </si>
  <si>
    <t>REDOVNA DJELATNOST SEIZMOLOŠKE SLUŽBE</t>
  </si>
  <si>
    <t>Prihodi od nefin. imovine i nadoknade štete s osnova osig.</t>
  </si>
  <si>
    <t>K679106</t>
  </si>
  <si>
    <t>OP UČINKOVITI LJUDSKI POTENCIJALI 2014.-2020., PRIORITET 3</t>
  </si>
  <si>
    <t>Europski socijalni fond (ESF)</t>
  </si>
  <si>
    <t>K679122</t>
  </si>
  <si>
    <t>RAZVOJ MREŽE SEIZMOLOŠKIH PODATAKA (C6.1.R4-I1)</t>
  </si>
  <si>
    <t>K679125</t>
  </si>
  <si>
    <t>OBNOVA INFRASTRUKTURE U PODRUČJU OBRAZOVANJA OŠTEĆENE POTRESOM FSEU.2022.MZO</t>
  </si>
  <si>
    <t>(blank)</t>
  </si>
  <si>
    <t>54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</si>
  <si>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</si>
  <si>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</si>
  <si>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</si>
  <si>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</si>
  <si>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A621148</t>
  </si>
  <si>
    <t>REDOVNA DJELATNOST VELEUČILIŠTA I VISOKIH ŠKOLA</t>
  </si>
  <si>
    <t>A679076</t>
  </si>
  <si>
    <t>EU PROJEKTI VELEUČILIŠTA I VISOKIH ŠKOLA (IZ EVIDENCIJSKIH PRIHODA)</t>
  </si>
  <si>
    <t>A679094</t>
  </si>
  <si>
    <t>REDOVNA DJELATNOST VELEUČILIŠTA I VISOKIH ŠKOLA (IZ EVIDENCIJSKIH PRIHODA)</t>
  </si>
  <si>
    <t>A621002</t>
  </si>
  <si>
    <t>REDOVNA DJELATNOST SVEUČILIŠTA U RIJECI</t>
  </si>
  <si>
    <t>A679072</t>
  </si>
  <si>
    <t>EU PROJEKTI SVEUČILIŠTA U RIJECI (IZ EVIDENCIJSKIH PRIHODA)</t>
  </si>
  <si>
    <t>A679089</t>
  </si>
  <si>
    <t>REDOVNA DJELATNOST SVEUČILIŠTA U RIJECI (IZ EVIDENCIJSKIH PRIHODA)</t>
  </si>
  <si>
    <t>A621004</t>
  </si>
  <si>
    <t>REDOVNA DJELATNOST SVEUČILIŠTA U SPLITU</t>
  </si>
  <si>
    <t>A679077</t>
  </si>
  <si>
    <t>EU PROJEKTI SVEUČILIŠTA U SPLITU (IZ EVIDENCIJSKIH PRIHODA)</t>
  </si>
  <si>
    <t>A679091</t>
  </si>
  <si>
    <t>REDOVNA DJELATNOST SVEUČILIŠTA U SPLITU (IZ EVIDENCIJSKIH PRIHODA)</t>
  </si>
  <si>
    <t>A621003</t>
  </si>
  <si>
    <t>REDOVNA DJELATNOST SVEUČILIŠTA U OSIJEKU</t>
  </si>
  <si>
    <t>A679090</t>
  </si>
  <si>
    <t>REDOVNA DJELATNOST SVEUČILIŠTA U OSIJEKU (IZ EVIDENCIJSKIH PRIHODA)</t>
  </si>
  <si>
    <t>A679071</t>
  </si>
  <si>
    <t>EU PROJEKTI SVEUČILIŠTA U OSIJEKU (IZ EVIDENCIJSKIH PRIHODA)</t>
  </si>
  <si>
    <t>Namjenski primici od zaduživanja</t>
  </si>
  <si>
    <t>A621074</t>
  </si>
  <si>
    <t>REDOVNA DJELATNOST SVEUČILIŠTA U ZADRU</t>
  </si>
  <si>
    <t>A679074</t>
  </si>
  <si>
    <t>EU PROJEKTI SVEUČILIŠTA U ZADRU (IZ EVIDENCIJSKIH PRIHODA)</t>
  </si>
  <si>
    <t>A679092</t>
  </si>
  <si>
    <t>REDOVNA DJELATNOST SVEUČILIŠTA U ZADRU (IZ EVIDENCIJSKIH PRIHODA)</t>
  </si>
  <si>
    <t>A621138</t>
  </si>
  <si>
    <t>REDOVNA DJELATNOST SVEUČILIŠTA U DUBROVNIKU</t>
  </si>
  <si>
    <t>A679073</t>
  </si>
  <si>
    <t>EU PROJEKTI SVEUČILIŠTA U DUBROVNIKU (IZ EVIDENCIJSKIH PRIHODA)</t>
  </si>
  <si>
    <t>A679093</t>
  </si>
  <si>
    <t>REDOVNA DJELATNOST SVEUČILIŠTA U DUBROVNIKU (IZ EVIDENCIJSKIH PRIHODA)</t>
  </si>
  <si>
    <t>A621180</t>
  </si>
  <si>
    <t>REKTORSKI ZBOR</t>
  </si>
  <si>
    <t>A679110</t>
  </si>
  <si>
    <t>POTPORA UMJETNIČKIM STUDIJIMA</t>
  </si>
  <si>
    <t>K621061</t>
  </si>
  <si>
    <t>ODRŽAVANJE OBJEKATA VISOKOOBRAZOVNIH USTANOVA</t>
  </si>
  <si>
    <t>A621168</t>
  </si>
  <si>
    <t>REDOVNA DJELATNOST SVEUČILIŠTA U PULI</t>
  </si>
  <si>
    <t>A679075</t>
  </si>
  <si>
    <t>EU PROJEKTI SVEUČILIŠTA U PULI (IZ EVIDENCIJSKIH PRIHODA)</t>
  </si>
  <si>
    <t>A679095</t>
  </si>
  <si>
    <t>REDOVNA DJELATNOST SVEUČILIŠTA U PULI (IZ EVIDENCIJSKIH PRIHODA)</t>
  </si>
  <si>
    <t>A679080</t>
  </si>
  <si>
    <t>REDOVNA DJELATNOST SVEUČILIŠTA SJEVER</t>
  </si>
  <si>
    <t>A679081</t>
  </si>
  <si>
    <t>EU PROJEKTI SVEUČILIŠTA SJEVER (IZ EVIDENCIJSKIH PRIHODA)</t>
  </si>
  <si>
    <t>A679096</t>
  </si>
  <si>
    <t>REDOVNA DJELATNOST SVEUČILIŠTA SJEVER (IZ EVIDENCIJSKIH PRIHODA)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</si>
  <si>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</si>
  <si>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</si>
  <si>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</si>
  <si>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</si>
  <si>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</si>
  <si>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</si>
  <si>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Program suradnje s hrvatskim znanstvenicima u dijaspori ''ZNANSTVENA SURADNJA''</t>
  </si>
  <si>
    <t>K733069.002</t>
  </si>
  <si>
    <t>Projekt razvoja karijera mladih istraživača - izobrazba novih doktora znanosti</t>
  </si>
  <si>
    <t>K733069.001</t>
  </si>
  <si>
    <t>E škole</t>
  </si>
  <si>
    <t>K848038.006</t>
  </si>
  <si>
    <t>Promocija cjeloživotnog učenja – faza II</t>
  </si>
  <si>
    <t>K848038.005</t>
  </si>
  <si>
    <t>Promocija učeničkih kompetencija i strukovnog obrazovanja kroz strukovna natjecanja i smotre</t>
  </si>
  <si>
    <t>K848038.004</t>
  </si>
  <si>
    <t>Osiguravanje kvalitete u sustavu obrazovanja odraslih</t>
  </si>
  <si>
    <t>K848038.003</t>
  </si>
  <si>
    <t>Modernizacija sustava strukovnog obrazovanja i osposobljavanja</t>
  </si>
  <si>
    <t>K848038.002</t>
  </si>
  <si>
    <t>Modernizacija sustava stručnog usavršavanja nastavnika strukovnih predmeta</t>
  </si>
  <si>
    <t>K848038.001</t>
  </si>
  <si>
    <t>Hrvatski znanstveni i obrazovni oblak (HR ZOO)</t>
  </si>
  <si>
    <t>K628087.002</t>
  </si>
  <si>
    <t>Znanstveno i tehnologijsko predviđanje - sustav CroRIS</t>
  </si>
  <si>
    <t>K628087.001</t>
  </si>
  <si>
    <t>Program unaprjeđenja primjene digitalne tehnologije u obrazovnom sustavu</t>
  </si>
  <si>
    <t>K628081.003</t>
  </si>
  <si>
    <t>Informatizacija procesa i uspostava cjelovite elektroničke usluge upisa u odgojne i obrazovne ustanove</t>
  </si>
  <si>
    <t>K628081.002</t>
  </si>
  <si>
    <t>II. faza programa "e-Škole: Cjelovita informatizacija procesa poslovanja škola i nastavnih procesa u svrhu stvaranja digitalno zrelih škola za 21. stoljeće"</t>
  </si>
  <si>
    <t>K628081.001</t>
  </si>
  <si>
    <t>K628080.003</t>
  </si>
  <si>
    <t>II. faza programa "e-Škole: Cjelovita informatizacija procesa poslovanja škola i nastavnih procesa u svrhu stvaranja ditigalno zrelih škola za 21. stoljeće"</t>
  </si>
  <si>
    <t>K628080.001</t>
  </si>
  <si>
    <t>Priprema IRI infrastrukturnih projekata</t>
  </si>
  <si>
    <t>K622128.010</t>
  </si>
  <si>
    <t>STRIP Jačanje kapaciteta za istraživanje, razvoj i inovacije</t>
  </si>
  <si>
    <t>K622128.009</t>
  </si>
  <si>
    <t>Ulaganje u znanost i inovacije (SIIF)</t>
  </si>
  <si>
    <t>K622128.008</t>
  </si>
  <si>
    <t>Strateški projekt "Centar za napredne laserske tehnike"</t>
  </si>
  <si>
    <t>K622128.007</t>
  </si>
  <si>
    <t>Razvoj i jačanje sinergija s horizontalnim aktivnostima programa OBZOR 2020:  Twinning i ERA chairs</t>
  </si>
  <si>
    <t>K622128.004</t>
  </si>
  <si>
    <t>Veliki projekt: Otvorene znanstvene infrastrukturne platforme za inovativne primjene u gospodarstvu i društvu – O–ZIP</t>
  </si>
  <si>
    <t>K622128.003</t>
  </si>
  <si>
    <t>Ulaganje u organizacijsku reformu i infrastrukturu sektora istraživanja, razvoja i inovacija</t>
  </si>
  <si>
    <t>K622128.002</t>
  </si>
  <si>
    <t>Vrhunska istraživanja Znanstvenih centara izvrsnosti</t>
  </si>
  <si>
    <t>K622128.001</t>
  </si>
  <si>
    <t>Napredne metode i tehnologije u znanosti o podatcima i kooperativnim sustavima (DATACROSS)</t>
  </si>
  <si>
    <t>A622125.155</t>
  </si>
  <si>
    <t>STIM-REI</t>
  </si>
  <si>
    <t>A622125.154</t>
  </si>
  <si>
    <t>SUPERB - Sustavna rješenja za povećanje hitne obnove ekosustava za bioraznolikost i usluge ekosustava povezane sa šumama</t>
  </si>
  <si>
    <t>A622125.153</t>
  </si>
  <si>
    <t>RESONATE Horizon 2020</t>
  </si>
  <si>
    <t>A622125.152</t>
  </si>
  <si>
    <t>PEST-BIN- Pionirske strategije protiv bakterijskih infekcija</t>
  </si>
  <si>
    <t>A622125.151</t>
  </si>
  <si>
    <t>MOQS - Molekularne kvantne simulacije</t>
  </si>
  <si>
    <t>A622125.150</t>
  </si>
  <si>
    <t>JERICO-DS - Zajednička europska istraživačka infrastruktura obalnih opservatorija</t>
  </si>
  <si>
    <t>A622125.149</t>
  </si>
  <si>
    <t>GrindCore - Brušenje uz pomoć tekućine - od temelja do aplikacija</t>
  </si>
  <si>
    <t>A622125.148</t>
  </si>
  <si>
    <t>FunTomP - Funkcionalizirani proizvodi od rajčice</t>
  </si>
  <si>
    <t>A622125.147</t>
  </si>
  <si>
    <t>EUROCC -Nacionalni centri za kompetencije u okviru Obzor 2020</t>
  </si>
  <si>
    <t>A622125.146</t>
  </si>
  <si>
    <t>EURAMED rocc-n-roll- primjena i koncept zaštite od zračenja: strateški plan istraživanjai međusobno povezivanje sa aspektima topline i digitalizacije</t>
  </si>
  <si>
    <t>A622125.145</t>
  </si>
  <si>
    <t>ENTRANCE- učinkovitost ispitivanja na temu rizika  prelaska teretnih granica bez ometanja poslovanja</t>
  </si>
  <si>
    <t>A622125.144</t>
  </si>
  <si>
    <t>DiseaseINgroups- Obrana od bolesti u skupinama: uloga povezanosti, rizik i vrsta patogena</t>
  </si>
  <si>
    <t>A622125.143</t>
  </si>
  <si>
    <t>AIMed - Antimikrobne integrirane metodologije za ortopedske primjene</t>
  </si>
  <si>
    <t>A622125.142</t>
  </si>
  <si>
    <t>AIDAInnova- Napredak i inovacije za detektore</t>
  </si>
  <si>
    <t>A622125.141</t>
  </si>
  <si>
    <t>ConsumeLess Plus</t>
  </si>
  <si>
    <t>A622125.140</t>
  </si>
  <si>
    <t>Potpora u poljoprivredi</t>
  </si>
  <si>
    <t>A622125.139</t>
  </si>
  <si>
    <t>Osiguranje usjeva, životinja i biljaka</t>
  </si>
  <si>
    <t>A622125.138</t>
  </si>
  <si>
    <t>Potpora za očuvanje, održivo korištenje i razvoj genetskih izvora u poljoprivredi</t>
  </si>
  <si>
    <t>A622125.137</t>
  </si>
  <si>
    <t>"IoT-polje: Eko sustav umreženih uređaja i usluga za Internet stvari s primjenom u poljoprivredi (KK.01.1.1.04.0108)"</t>
  </si>
  <si>
    <t>A622125.136</t>
  </si>
  <si>
    <t>H2020 COORDINATE- Mreža infrastrukture za istraživanje i razvoj kohorte Zajednice za pristup diljem Europe</t>
  </si>
  <si>
    <t>A622125.135</t>
  </si>
  <si>
    <t>JamINNO+ Razvoj funkcionalnog pića u održivoj ambalaži</t>
  </si>
  <si>
    <t>A622125.134</t>
  </si>
  <si>
    <t>Erasmus GIST</t>
  </si>
  <si>
    <t>A622125.133</t>
  </si>
  <si>
    <t>JM network WB 2 EU</t>
  </si>
  <si>
    <t>A622125.132</t>
  </si>
  <si>
    <t>Napredni sustav motrenja agroekosustava u riziku od zaslanjivanja i onečišćenja</t>
  </si>
  <si>
    <t>A622125.131</t>
  </si>
  <si>
    <t>UNLOCK-CAVE</t>
  </si>
  <si>
    <t>A622125.130</t>
  </si>
  <si>
    <t>EIT RM-RIS REACT</t>
  </si>
  <si>
    <t>A622125.129</t>
  </si>
  <si>
    <t>EIT RM-Li3T</t>
  </si>
  <si>
    <t>A622125.128</t>
  </si>
  <si>
    <t>Emodnet-Geol 5</t>
  </si>
  <si>
    <t>A622125.127</t>
  </si>
  <si>
    <t>Geothermal-DHC COST</t>
  </si>
  <si>
    <t>A622125.126</t>
  </si>
  <si>
    <t>Potpora vrhunskim istraživanjima Centra izvrsnosti za napredne materijale i senzore, KK.01.1.1.01.0001</t>
  </si>
  <si>
    <t>A622125.125</t>
  </si>
  <si>
    <t>Biološke i bioinspirirane strukture za multispektralni nadzor</t>
  </si>
  <si>
    <t>A622125.124</t>
  </si>
  <si>
    <t>LASERLAB-EUROPE- integrirana inicijativa Europske laserske istraživačke infrastrukture</t>
  </si>
  <si>
    <t>A622125.123</t>
  </si>
  <si>
    <t>Bioraznolikost i molekularno oplemenjivanje bilja</t>
  </si>
  <si>
    <t>A622125.122</t>
  </si>
  <si>
    <t>EU-SMART-NANO</t>
  </si>
  <si>
    <t>A622125.121</t>
  </si>
  <si>
    <t>Geotehnički fakultet Varaždin - Ministarstvo zaštite okoliša i energetike iz EU sredstva Europskog fonda za reg razvoj</t>
  </si>
  <si>
    <t>A622125.120</t>
  </si>
  <si>
    <t>boDEREC CE Interreg</t>
  </si>
  <si>
    <t>A622125.119</t>
  </si>
  <si>
    <t>GeoTwinn H2020 2018-2021</t>
  </si>
  <si>
    <t>A622125.118</t>
  </si>
  <si>
    <t>RESPONSa - U programa INTERREG IPA CBC Hrvatska-Bosna i Hercegovina-Crna Gora 2014-2020</t>
  </si>
  <si>
    <t>A622125.117</t>
  </si>
  <si>
    <t>H2020 Unravelling Data for Rapid Evidence-Based Response to COVID 19 (unCoVer)</t>
  </si>
  <si>
    <t>A622125.116</t>
  </si>
  <si>
    <t>Molecular Quantum Simulations – MOQS</t>
  </si>
  <si>
    <t>A622125.114</t>
  </si>
  <si>
    <t>H2020, EGI ENGAGE -Engaging the EGI Community towards an Open Science Commons</t>
  </si>
  <si>
    <t>A622125.112</t>
  </si>
  <si>
    <t>ERC Synergy Grant ANEUPLOIDY, Molekularno porijeklo aneuploidija u zdravim i oboljelim ljudskim tkivima</t>
  </si>
  <si>
    <t>A622125.111</t>
  </si>
  <si>
    <t>H2020 PROMISE-PROMoting youth Involvement and Social Engagement</t>
  </si>
  <si>
    <t>A622125.110</t>
  </si>
  <si>
    <t>MAESTRA, Učenje iz masivnih, nepotpuno zabilježenih i strukturiranih podataka</t>
  </si>
  <si>
    <t>A622125.107</t>
  </si>
  <si>
    <t>EU -HORIZON-RECORD IT</t>
  </si>
  <si>
    <t>A622125.106</t>
  </si>
  <si>
    <t>STRONG-2020 - Jaka interakcija na granici znanja</t>
  </si>
  <si>
    <t>A622125.105</t>
  </si>
  <si>
    <t>EU-3D CPAM</t>
  </si>
  <si>
    <t>A622125.103</t>
  </si>
  <si>
    <t>Enhancement of the Innovation Potential in SEE through new Molecular Solutions in Research and Development - InnoMol</t>
  </si>
  <si>
    <t>A622125.098</t>
  </si>
  <si>
    <t>A622125.097</t>
  </si>
  <si>
    <t>MUSICA, Podrijetlo novih magnetskih struktura - mrlja u difuznom Galaktičkom međuzvjezdanom mediju (ISM) koji zatamnjuju kozmičku zoru</t>
  </si>
  <si>
    <t>A622125.096</t>
  </si>
  <si>
    <t>"STREPUNLOCKED, Otključavanje potencijala za proizvodnju antibiotika u tlubakterija Streptomyces coelicolor"</t>
  </si>
  <si>
    <t>A622125.095</t>
  </si>
  <si>
    <t>MARILIA-Mara-Based Industrial Low-Cost Identification Assays</t>
  </si>
  <si>
    <t>A622125.094</t>
  </si>
  <si>
    <t>MEMBRANESACT, Biološke membrane na djelu: Poveznica proteinskih međudjelovanja, stvaranja makrostruktura i aktivnog transporta</t>
  </si>
  <si>
    <t>A622125.093</t>
  </si>
  <si>
    <t>ERASMUS + SKILLS BORD 2017+1-ELO1-KA202-036296</t>
  </si>
  <si>
    <t>A622125.091</t>
  </si>
  <si>
    <t>H2020 ECDP-European Cohort Development Project</t>
  </si>
  <si>
    <t>A622125.090</t>
  </si>
  <si>
    <t>Project 'RAMBOLL '</t>
  </si>
  <si>
    <t>A622125.087</t>
  </si>
  <si>
    <t>INTERREG RESTAURA - Revitalising Historic Buildings through Public-Private Partnership Schemes</t>
  </si>
  <si>
    <t>A622125.084</t>
  </si>
  <si>
    <t>INTERREG boDEREC CE</t>
  </si>
  <si>
    <t>A622125.083</t>
  </si>
  <si>
    <t>H2020 2018-2021 GeoTwinn</t>
  </si>
  <si>
    <t>A622125.082</t>
  </si>
  <si>
    <t>ERASMUS+, IDEA</t>
  </si>
  <si>
    <t>A622125.081</t>
  </si>
  <si>
    <t>H2020-WIDESPREAD-Twinning kordinacijska akcija u području otvorenih podataka</t>
  </si>
  <si>
    <t>A622125.080</t>
  </si>
  <si>
    <t>Erasmus + „BESPLATNO DODAJ - Prevencija ovisnosti o pušenju, alkoholu i internetu među djecom i adolescentima: pristup obiteljskoj orijentaciji za odrasle učenike i odgajatelje</t>
  </si>
  <si>
    <t>A622125.079</t>
  </si>
  <si>
    <t>H2020 INVENT - Europski popis društvenih vrijednosti kulture kao osnova za inkluzivne kulturne politike u svijetu globalizacije</t>
  </si>
  <si>
    <t>A622125.078</t>
  </si>
  <si>
    <t>HORIZON 2020 PHOENIX-Proizvodnja i testiranje nano lijekova</t>
  </si>
  <si>
    <t>A622125.077</t>
  </si>
  <si>
    <t>Klimatske promjene</t>
  </si>
  <si>
    <t>A622125.076</t>
  </si>
  <si>
    <t>Interreg-IPA CBC HR-BIH-MAKEDONIJA</t>
  </si>
  <si>
    <t>A622125.075</t>
  </si>
  <si>
    <t>CEKOM</t>
  </si>
  <si>
    <t>A622125.074</t>
  </si>
  <si>
    <t>MPM2020/2021</t>
  </si>
  <si>
    <t>A622125.073</t>
  </si>
  <si>
    <t>ERASMUS-Jean Monnet</t>
  </si>
  <si>
    <t>A622125.072</t>
  </si>
  <si>
    <t>INTERREG Središnja Europa</t>
  </si>
  <si>
    <t>A622125.071</t>
  </si>
  <si>
    <t>DESTIMED-Ekoturizam u mediteranskim destinacijama-od praćenja i planiranja do promicanja i podrške</t>
  </si>
  <si>
    <t>A622125.070</t>
  </si>
  <si>
    <t>MUHA-upravljanje vodnim sustavima tijekom rizika od hazarda</t>
  </si>
  <si>
    <t>A622125.068</t>
  </si>
  <si>
    <t>DEEPWATER-CE- Razvoj integriranog provedbenog okvira radi zaštite vodnih resursa</t>
  </si>
  <si>
    <t>A622125.067</t>
  </si>
  <si>
    <t>Interreg- Srednja Europa project CE1412</t>
  </si>
  <si>
    <t>A622125.066</t>
  </si>
  <si>
    <t>RESPONSe - INTERREG ITALIJA-HRVATSKA</t>
  </si>
  <si>
    <t>A622125.065</t>
  </si>
  <si>
    <t>INTERREG - Dunavski limes</t>
  </si>
  <si>
    <t>A622125.064</t>
  </si>
  <si>
    <t>COST- Integriranje neandertalnog nasljeđa: od prošlosti do danas - iNEAL</t>
  </si>
  <si>
    <t>A622125.063</t>
  </si>
  <si>
    <t>ERASMUS+ Poboljšanje vještina strukovnog obrazovanja i osposobljavanja</t>
  </si>
  <si>
    <t>A622125.062</t>
  </si>
  <si>
    <t>INNO-WISE: Tehnologije, kompetencije i društvene inovacije za radnu integraciju društvena poduzeća</t>
  </si>
  <si>
    <t>A622125.061</t>
  </si>
  <si>
    <t>H2020 DARE-Dijalog o radikalizaciji i jednakosti</t>
  </si>
  <si>
    <t>A622125.060</t>
  </si>
  <si>
    <t>SPRINT -Prijelaz održive zaštite bilja</t>
  </si>
  <si>
    <t>A622125.059</t>
  </si>
  <si>
    <t>WINTTER MED</t>
  </si>
  <si>
    <t>A622125.058</t>
  </si>
  <si>
    <t>INTERREG EUROPE LOCAL FLAVOURS Autentični turizam temeljen na lokalnim kulturnim ukusima</t>
  </si>
  <si>
    <t>A622125.057</t>
  </si>
  <si>
    <t>INTERREG IT-HR CBC SLIDES  Pametne strategije za održivi turizam u životno kulturnim odrednicama</t>
  </si>
  <si>
    <t>A622125.056</t>
  </si>
  <si>
    <t>ERASMUS+ Podrška boljem znanju u području politike mladih (Youth Wiki)</t>
  </si>
  <si>
    <t>A622125.055</t>
  </si>
  <si>
    <t>ERASMUS+ Hand in Hand</t>
  </si>
  <si>
    <t>A622125.054</t>
  </si>
  <si>
    <t>NI4OS-Europe - Nacionalne inicijative za otvorenu znanost u Europi</t>
  </si>
  <si>
    <t>A622125.053</t>
  </si>
  <si>
    <t>A622125.052</t>
  </si>
  <si>
    <t>INTERREG IT-HR ASTERIS</t>
  </si>
  <si>
    <t>A622125.051</t>
  </si>
  <si>
    <t>INTERREG IT-HR  AdriAquaNet - projekt jačanja i održivosti akvakulture u Jadranskom moru</t>
  </si>
  <si>
    <t>A622125.050</t>
  </si>
  <si>
    <t>Horizon2020: MedAID  Integrirani razvoj mediteranske akvakulture</t>
  </si>
  <si>
    <t>A622125.049</t>
  </si>
  <si>
    <t>Horizon2020  M4F Modeliranje za fuzijske i fizijske materijale</t>
  </si>
  <si>
    <t>A622125.047</t>
  </si>
  <si>
    <t>LIFE SySTEMIC Održivo upravljanje šuma u  uvjetima klimatskih promjena</t>
  </si>
  <si>
    <t>A622125.045</t>
  </si>
  <si>
    <t>INTERREG DUNAV REFOSuS Otporne poplavne šume kao ekološki koridori rezervata biosfere Mura-Drava-Dunav</t>
  </si>
  <si>
    <t>A622125.044</t>
  </si>
  <si>
    <t>AIRQ Proširenje i modernizacija državne mreže za trajno praćenje kvalitete zraka</t>
  </si>
  <si>
    <t>A622125.043</t>
  </si>
  <si>
    <t>OBZOR 2020 RISKGONE  Upravljanje rizikom od nanotehnologije</t>
  </si>
  <si>
    <t>A622125.042</t>
  </si>
  <si>
    <t>INTERREG-ENRAS Osiguranje sigurnosti intervencijskih postrojbi u slučaju nuklearne ili radiološke nesreće</t>
  </si>
  <si>
    <t>A622125.041</t>
  </si>
  <si>
    <t>SoPHIA -  DRUŠTVENA PLATFORMA ZA PROCJENU UTICAJA HOLISTIČKE BAŠTINE</t>
  </si>
  <si>
    <t>A622125.040</t>
  </si>
  <si>
    <t>Širenje znanja o europskim radničkim vijećima u cilju jačanja transnacionalnih radničkih  prava</t>
  </si>
  <si>
    <t>A622125.039</t>
  </si>
  <si>
    <t>BARMIG Pregovaranje uvjeta rada i socijalnih prava radnika migranata u državama srednje I istočne Europe</t>
  </si>
  <si>
    <t>A622125.038</t>
  </si>
  <si>
    <t>H2020 CHIEF Inovativni pristup kulturne pismenosti mladih Europljana</t>
  </si>
  <si>
    <t>A622125.034</t>
  </si>
  <si>
    <t>ERASMUS+ SPECHALE  SPEcialisti za kulturnu baštinu i atraktivno životno okruženje</t>
  </si>
  <si>
    <t>A622125.033</t>
  </si>
  <si>
    <t>ERASMUS + SeasonREADY Obrazovanje za sezonske turističke djelatnike</t>
  </si>
  <si>
    <t>A622125.031</t>
  </si>
  <si>
    <t>Modeli integriranog turizma na Mediteranu plus</t>
  </si>
  <si>
    <t>A622125.030</t>
  </si>
  <si>
    <t>INTERREG Središnja Europa KEEP ON-Učinkovita politika za trajne i samoodržive projekte u sektoru kulturne baštine</t>
  </si>
  <si>
    <t>A622125.028</t>
  </si>
  <si>
    <t>VOLPOWER Volontiranje kao doprinos interakciji i osnaživanju mladih</t>
  </si>
  <si>
    <t>A622125.026</t>
  </si>
  <si>
    <t>OBZOR2020  HBM4EU Inicijativa Europskog humanog biomonitoringa izrada baze kohorti novorođenčeta u Europi</t>
  </si>
  <si>
    <t>A622125.022</t>
  </si>
  <si>
    <t>CASE (Poland) - Razvoj i primjena inovativnih alata usmjerenih na ograničavanje fenomena neregistriranog rada u ustanovama suodgovornim za minimiziranje sive ekonomije na trzištu rada</t>
  </si>
  <si>
    <t>A622125.021</t>
  </si>
  <si>
    <t>INTERREG Central Europe: PROLINE-CE – Učinkovite prakse upravljanja zemljištem kroz zaštitu vodnih resursa i ne-strukturnih iskustava za ublažavanje poplava</t>
  </si>
  <si>
    <t>A622125.020</t>
  </si>
  <si>
    <t>INTERREG Danube: CAMARO-D Primjena inovativnih međunarodnih „Razvojnih planova korištenja zemljišta“ radi utjecaja na vodni režim u slivu rijeke Dunav</t>
  </si>
  <si>
    <t>A622125.019</t>
  </si>
  <si>
    <t>INTERREG Danube: DARLINGe Podunavlje vodeća regija geotermalne energije</t>
  </si>
  <si>
    <t>A622125.018</t>
  </si>
  <si>
    <t>INTERREG Danube SIMONA Informacijski sustav koji podupire transnacionalnu suradnju za zajedničko vodno gospodarstvo u slivu rijeke Dunav</t>
  </si>
  <si>
    <t>A622125.017</t>
  </si>
  <si>
    <t>INTERREG CBC Hrvatska-BiH-Crna Gora SafEath Napredno upravljanje rizikom klizišta u regiji</t>
  </si>
  <si>
    <t>A622125.016</t>
  </si>
  <si>
    <t>H2020, ERA-net GeoERA Uspostava istraživačkog prostora europskih geoloških službi i stvaranje geološke službe za Europu</t>
  </si>
  <si>
    <t>A622125.015</t>
  </si>
  <si>
    <t>H2020 NEW Povezivanje komplementanih nacionalnih ion-beam postrojenja u virtualnu mrežu</t>
  </si>
  <si>
    <t>A622125.013</t>
  </si>
  <si>
    <t>H2020 EOSC-hub Katalog usluga, softvera i podataka iz EGI Federacije, EUDAT CDI, INDIGO - DataCloud i glavnih istraživačkih e-Infrastruktura</t>
  </si>
  <si>
    <t>A622125.011</t>
  </si>
  <si>
    <t>H2020 ESSnuSB Izrada studije o mogućnosti nadogradnje ESS akceleratora</t>
  </si>
  <si>
    <t>A622125.010</t>
  </si>
  <si>
    <t>H2020 OpenAIRE-Advance Osiguravanje otvorenog pristupa i otvorene znanosti na razini EU</t>
  </si>
  <si>
    <t>A622125.009</t>
  </si>
  <si>
    <t>H2020 PaRaDe SEC Unaprjeđenje istraživačke infrastrukture, posebice detektora čestica i zračenja za istraživanja u nuklearnoj i čestičnoj fizici</t>
  </si>
  <si>
    <t>A622125.007</t>
  </si>
  <si>
    <t>H2020 Concert Povezivanje istraživanja zaštite od zračenja na EU razini</t>
  </si>
  <si>
    <t>A622125.006</t>
  </si>
  <si>
    <t>H2020 NewSpindlForce Temeljna istraživanja dinamike diobenog vretena u cilju razumijevanja mehanizama stanične diobe</t>
  </si>
  <si>
    <t>A622125.005</t>
  </si>
  <si>
    <t>H2020 PerformFISH Prevladavanje bioloških, tehničkih i operativnih pitanja u akvakulturi</t>
  </si>
  <si>
    <t>A622125.004</t>
  </si>
  <si>
    <t>H2020 EuroFusion Istraživnja energije fuzije</t>
  </si>
  <si>
    <t>A622125.003</t>
  </si>
  <si>
    <t>H2020, Twinning: SmartEIZ</t>
  </si>
  <si>
    <t>A622125.002</t>
  </si>
  <si>
    <t>A622125.001</t>
  </si>
  <si>
    <t>Druga prilika za stjecanje kvalifikacije u visokom obrazovanju</t>
  </si>
  <si>
    <t>K679111.001</t>
  </si>
  <si>
    <t>Uspostava integralnog sustava za upravljanje službenom dokumentacijom Republike Hrvatske</t>
  </si>
  <si>
    <t>K679106.005</t>
  </si>
  <si>
    <t>SHARE Istraživanje o zdravlju, starenju i umirovljenju u Europi</t>
  </si>
  <si>
    <t>K679106.004</t>
  </si>
  <si>
    <t>Razvoj, unapređenje i provedba stručne prakse u visokom obrazovanju</t>
  </si>
  <si>
    <t>K679106.003</t>
  </si>
  <si>
    <t>Provedba HKO-a na razini visokog obrazovanja</t>
  </si>
  <si>
    <t>K679106.002</t>
  </si>
  <si>
    <t>Internacionalizacija visokog obrazovanja - razvoj studijskih programa na stranim jezicima u prioritetnim područjima i združenih studija</t>
  </si>
  <si>
    <t>K679106.001</t>
  </si>
  <si>
    <t>K679084.007</t>
  </si>
  <si>
    <t>K679084.006</t>
  </si>
  <si>
    <t>K679084.005</t>
  </si>
  <si>
    <t>Poziv Modernizacija, unaprjeđenje i proširenje infrastrukture studentskog smještaja za studente u nepovoljnom položaju</t>
  </si>
  <si>
    <t>K679084.004</t>
  </si>
  <si>
    <t>K679084.003</t>
  </si>
  <si>
    <t>K679084.002</t>
  </si>
  <si>
    <t>K679084.001</t>
  </si>
  <si>
    <t>RESIN-razvoj sustava za ispitivanje višefaznih strujanja i izgaranja</t>
  </si>
  <si>
    <t>A679115.010</t>
  </si>
  <si>
    <t>ERASMUS</t>
  </si>
  <si>
    <t>A679115.009</t>
  </si>
  <si>
    <t>EXPERIO-razvoj strojeva za kvalitetu i paletizaciju u automobilskoj industriji</t>
  </si>
  <si>
    <t>A679115.008</t>
  </si>
  <si>
    <t>Dobra klima za turizam</t>
  </si>
  <si>
    <t>A679115.006</t>
  </si>
  <si>
    <t>AVACS, Prilagodba povrtnih kultura novim agrometeorološkim uvjetima u Slavoniji</t>
  </si>
  <si>
    <t>A679115.005</t>
  </si>
  <si>
    <t>Pametna naljepnica za mjerenje i praćenje uvjeta skladištenja i transporta proizvoda</t>
  </si>
  <si>
    <t>A679115.004</t>
  </si>
  <si>
    <t>Centar za istraživanje, razvoj i inovacije - CIRI</t>
  </si>
  <si>
    <t>A679115.002</t>
  </si>
  <si>
    <t>INTERREG IPA CBC Hrvatska - Srbija, Obnovljivi izvori energije za pametne, održive, zdravstvene centre, visokoobrazovne ustanove i druge javne zgrade</t>
  </si>
  <si>
    <t>A679115.001</t>
  </si>
  <si>
    <t>Unapređenje rada Medicinske škole AK Zadar- regionalnog centra kompetentnosti u sektoru zdravstva</t>
  </si>
  <si>
    <t>A679081.013</t>
  </si>
  <si>
    <t>Integracija (bivših) Jugoslavena u Švicarskoj</t>
  </si>
  <si>
    <t>A679081.012</t>
  </si>
  <si>
    <t>Istraživanje i razvoj inovativnih i pametnih tehnologija za gospodarenje otpadom, prijevoz i logistiku</t>
  </si>
  <si>
    <t>A679081.011</t>
  </si>
  <si>
    <t>Ulaganje u istraživanje i razvoj BBR Adria d.o.o.</t>
  </si>
  <si>
    <t>A679081.010</t>
  </si>
  <si>
    <t>Digitalna.hr</t>
  </si>
  <si>
    <t>A679081.009</t>
  </si>
  <si>
    <t>Uspostava RCK u strojarstvu SJEVER -TŠČ</t>
  </si>
  <si>
    <t>A679081.008</t>
  </si>
  <si>
    <t>INTERREG e-MOB</t>
  </si>
  <si>
    <t>A679081.005</t>
  </si>
  <si>
    <t>ERASMUS+  Poticanje mobilnosti studenata i znanstveno-nastavnog osoblja</t>
  </si>
  <si>
    <t>A679081.004</t>
  </si>
  <si>
    <t>ERASMUS+ JEAN MONNET MODULES - Interdisciplinarni pristup političkim i pravnim dimenzijama regionalnih integracija</t>
  </si>
  <si>
    <t>A679081.003</t>
  </si>
  <si>
    <t>ERASMUS+ JEAN MONNET Razvoj i implementacija CQAF modela osiguranja kvalitete na visokoškolskim ustanovama</t>
  </si>
  <si>
    <t>A679081.002</t>
  </si>
  <si>
    <t>INTERREG Projekt LOW-CARB Integrirano planiranje pokretljivosti s niskom razinom ugljika za urbana područja</t>
  </si>
  <si>
    <t>A679081.001</t>
  </si>
  <si>
    <t>RADICALZ — H2020-FNR-2020</t>
  </si>
  <si>
    <t>A679078.701</t>
  </si>
  <si>
    <t>Formiranje C-C veze pomoću vrhunskih enzima</t>
  </si>
  <si>
    <t>A679078.700</t>
  </si>
  <si>
    <t>Znanstveni centar izvrsnosti personalizirana briga o zdravlju</t>
  </si>
  <si>
    <t>A679078.699</t>
  </si>
  <si>
    <t>Znanstveno i tehnologijsko predviđanje</t>
  </si>
  <si>
    <t>A679078.698</t>
  </si>
  <si>
    <t>A679078.697</t>
  </si>
  <si>
    <t>IRI Comparative genomics of non-model invertebrates (IGNITE)</t>
  </si>
  <si>
    <t>A679078.696</t>
  </si>
  <si>
    <t>Bioproscpecting Jadranskog mora</t>
  </si>
  <si>
    <t>A679078.695</t>
  </si>
  <si>
    <t>HORIZON 2020-MSCA-ITN-2019 - THREAD</t>
  </si>
  <si>
    <t>A679078.694</t>
  </si>
  <si>
    <t>HRZZ Program suradnje s hrvatskim znanstvenicima u dijaspori ''ZNANSTVENA SURADNJA''</t>
  </si>
  <si>
    <t>A679078.693</t>
  </si>
  <si>
    <t>Reforma stranih jezika u akademskim krugovima u Crnoj Gori</t>
  </si>
  <si>
    <t>A679078.692</t>
  </si>
  <si>
    <t>Kako obični ljudi shvaćaju anti-gender poruke</t>
  </si>
  <si>
    <t>A679078.691</t>
  </si>
  <si>
    <t>Uvođenje obrazovanja o intelektualnom vlasništvu za cjeloživotno učenje i ekonomiju znanja</t>
  </si>
  <si>
    <t>A679078.690</t>
  </si>
  <si>
    <t>OLGA - OLympics  Green Airport</t>
  </si>
  <si>
    <t>A679078.689</t>
  </si>
  <si>
    <t>Mreža infrastrukture za istraživanje i razvoj kohortne zajednice za pristup diljem Europe</t>
  </si>
  <si>
    <t>A679078.688</t>
  </si>
  <si>
    <t>STAND - Jačanje autonomije sveučilišta i povećanje odgovornosti i transparentnosti sveučilišta Zapadnog Balkana</t>
  </si>
  <si>
    <t>A679078.687</t>
  </si>
  <si>
    <t>SHIPMARTECH - Nadogradnja i usklađivanje magistarskih tečajeva pomorskog inženjerstva</t>
  </si>
  <si>
    <t>A679078.686</t>
  </si>
  <si>
    <t>CESSDA ERIC Agenda 21-22</t>
  </si>
  <si>
    <t>A679078.685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</si>
  <si>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</si>
  <si>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A679078.684</t>
  </si>
  <si>
    <t>CResDET - Digitalno obrazovanje i osposobljavanje otporno na krize</t>
  </si>
  <si>
    <t>A679078.683</t>
  </si>
  <si>
    <t>SEAS 4.0 ODRŽIVI BROD I DOSTAVA 4.0</t>
  </si>
  <si>
    <t>A679078.682</t>
  </si>
  <si>
    <t>GLocalEAst - Razvoj novog kurikuluma o studijama globalne migracije, dijaspore i granica u istočnoj i središnjoj Europi</t>
  </si>
  <si>
    <t>A679078.681</t>
  </si>
  <si>
    <t>EXAFOAM - Iskorištavanje sustava Exascale</t>
  </si>
  <si>
    <t>A679078.680</t>
  </si>
  <si>
    <t>RHEFINE - Retorika za inovativno obrazovanje</t>
  </si>
  <si>
    <t>A679078.679</t>
  </si>
  <si>
    <t>LSP Internetski tečaj za stručno usavršavanje nastavnika</t>
  </si>
  <si>
    <t>A679078.678</t>
  </si>
  <si>
    <t>PRISMI PLUS - Prijenos alata za integraciju OIE na pametnim mediteranskim otocima i ruralnim područjima</t>
  </si>
  <si>
    <t>A679078.677</t>
  </si>
  <si>
    <t>ReNewEurope - Ponovno otkrivanje „Nove Europe“ - Ljetna škola na kotačima za prekograničnu povijest i politiku Balkana / Srednje i Istočne Europe</t>
  </si>
  <si>
    <t>A679078.676</t>
  </si>
  <si>
    <t>INTERREG OJP4DANUBE</t>
  </si>
  <si>
    <t>A679078.675</t>
  </si>
  <si>
    <t>ELP Transport stručnjak za lokalni transport</t>
  </si>
  <si>
    <t>A679078.674</t>
  </si>
  <si>
    <t>NAUTICA CBC prekogranična nautička turistička ponuda</t>
  </si>
  <si>
    <t>A679078.673</t>
  </si>
  <si>
    <t>DERIN ERASMUS + Razvoj digitalne platforme za izgradnju sustava zaštite kritičnih infrastruktura u pametnim industrijama</t>
  </si>
  <si>
    <t>A679078.672</t>
  </si>
  <si>
    <t>IRI-II CIP4SI - Razvoj digitalne platforme za izgradnju sustava zaštite kritičnih infrastruktura u pametnim industrijama</t>
  </si>
  <si>
    <t>A679078.671</t>
  </si>
  <si>
    <t>IRI-II 4VENT - Razvoj niza četverousisnih ventilatora za industrijska postrojenja</t>
  </si>
  <si>
    <t>A679078.670</t>
  </si>
  <si>
    <t>DIGITOOLS - Inovativni alati za poboljšanje rješenja e-učenja na sveučilištima</t>
  </si>
  <si>
    <t>A679078.669</t>
  </si>
  <si>
    <t>IRI-II SmartEC - Smart EC - dijagnostički sustav za ispitivanje metodom vrtložnih struja</t>
  </si>
  <si>
    <t>A679078.668</t>
  </si>
  <si>
    <t>IRI-II PBM-PLIN - Iskorištenje manje kvalitetnih i nestalnih plinova za proizvodnju električne energije</t>
  </si>
  <si>
    <t>A679078.667</t>
  </si>
  <si>
    <t>IRI-II AIDWAS  - Sustav za nadzor kibernetičkog prostora i informiranje o katastrofama i prijetnjama u stvarnom vremenu na bazi umjetne inteligencije</t>
  </si>
  <si>
    <t>A679078.666</t>
  </si>
  <si>
    <t>NLTP - Platforma nacionalnih jezičnih tehnologija</t>
  </si>
  <si>
    <t>A679078.665</t>
  </si>
  <si>
    <t>IRI-II VIRT-UAV - Sustav autonomnih bespilotnih letjelica treniranih u virtualnim okruženjima</t>
  </si>
  <si>
    <t>A679078.664</t>
  </si>
  <si>
    <t>ESA</t>
  </si>
  <si>
    <t>A679078.663</t>
  </si>
  <si>
    <t>UN4DRR</t>
  </si>
  <si>
    <t>A679078.662</t>
  </si>
  <si>
    <t>IRI-II CYBERBUS-INREBUS -Model za analizu podataka iz nestrukturiranih izvora informacija s ciljem povećanja kibernetičke sigurnosti u složenim poslovnim sustavima</t>
  </si>
  <si>
    <t>A679078.661</t>
  </si>
  <si>
    <t>IRI-II Mareton-2 -Robusni sustav neprekinutog napajanja za uređaje željezničke i industrijske infrastrukture</t>
  </si>
  <si>
    <t>A679078.660</t>
  </si>
  <si>
    <t>IRI-II Besposadni brod - Razvoj autonomnog besposadnog višenamjenskog broda</t>
  </si>
  <si>
    <t>A679078.659</t>
  </si>
  <si>
    <t>IRI-II SOVA - Sustav za vizualno prepoznavanje proizvoda na policama</t>
  </si>
  <si>
    <t>A679078.658</t>
  </si>
  <si>
    <t>ERASMUS + KA2 - Aktivno učenje kroz poboljšanu interaktivnost</t>
  </si>
  <si>
    <t>A679078.657</t>
  </si>
  <si>
    <t>IGT</t>
  </si>
  <si>
    <t>A679078.656</t>
  </si>
  <si>
    <t>CARNET21 -Ostali -EEA and Norw. Gran.Fund Reg.</t>
  </si>
  <si>
    <t>A679078.655</t>
  </si>
  <si>
    <t>ERASMUS+projekt Fit Old</t>
  </si>
  <si>
    <t>A679078.654</t>
  </si>
  <si>
    <t>ERASMUS+projekt Sky Easy</t>
  </si>
  <si>
    <t>A679078.653</t>
  </si>
  <si>
    <t>Eatris Plus - H2020 Konsolidacija kapaciteta EATRIS -ERIC -a za personaliziranu medicinu</t>
  </si>
  <si>
    <t>A679078.652</t>
  </si>
  <si>
    <t>WATCHPLANT - Pametni biohibridni fito-organizmi za okoliš</t>
  </si>
  <si>
    <t>A679078.651</t>
  </si>
  <si>
    <t>EUROP2E (Erasmus+) - Europska otvorena platforma za propisivanje obrazovanja</t>
  </si>
  <si>
    <t>A679078.650</t>
  </si>
  <si>
    <t>ROUTE ( HORIZON )- Putokaz iz medicinskih pustinja u inicijative i politike zdravstvene radne snage koje podržavaju</t>
  </si>
  <si>
    <t>A679078.649</t>
  </si>
  <si>
    <t>A679078.648</t>
  </si>
  <si>
    <t>RISE DORNA - Razvoj motornih pogona visoke pouzdanosti za pogonske aplikacije sljedeće generacije</t>
  </si>
  <si>
    <t>A679078.647</t>
  </si>
  <si>
    <t>Izazovi za društvene i humanističke znanosti: novi studiji i sustav kvalitete Filozofskog fakulteta u Zagrebu</t>
  </si>
  <si>
    <t>A679078.646</t>
  </si>
  <si>
    <t>AgroEko - Napredna i prediktivna poljoprivreda za otpornost klimatskim promjenama</t>
  </si>
  <si>
    <t>A679078.645</t>
  </si>
  <si>
    <t>Zaštita cjelovitosti konstrukcija u energetici i transportu</t>
  </si>
  <si>
    <t>A679078.644</t>
  </si>
  <si>
    <t>ERASMUS + KA2 - Strateško partnerstvo COGSTEPS Startup obrazovanje i podrška studentima doktorskih studija, istraživačima i znanstvenicima</t>
  </si>
  <si>
    <t>A679078.643</t>
  </si>
  <si>
    <t>Interreg Adrion: Vuna kao izvanredna prilika za polugu - VUNA</t>
  </si>
  <si>
    <t>A679078.642</t>
  </si>
  <si>
    <t>PROBITECT - Sinergijska inovativna kombinacija sastavnica mikrobiote kao osnova za razvoj inovativnih topikalnih proizvoda za tretiranje i prevenciju upalnih stanja humane kože</t>
  </si>
  <si>
    <t>A679078.641</t>
  </si>
  <si>
    <t>FENIQS-EU - jačanje provedbe standarda kvalitete u smanjenju potražnje za drogama u cijeloj Europi</t>
  </si>
  <si>
    <t>A679078.640</t>
  </si>
  <si>
    <t>Obzor 2020 MEDICTA - Razvoj sustava za diktiranje medicinskih nalaza na bosanskom / hrvatskom / srpskom jeziku uključujući latinske izraze</t>
  </si>
  <si>
    <t>A679078.639</t>
  </si>
  <si>
    <t>Platforma 50+ za unaprjeđivanje uvjeta rada</t>
  </si>
  <si>
    <t>A679078.638</t>
  </si>
  <si>
    <t>ESF CasMouse - Genomsko inženjerstvo i genska regulacija u staničnim linijama i modelnim organizmima tehnologijom CRISPR/Cas9</t>
  </si>
  <si>
    <t>A679078.637</t>
  </si>
  <si>
    <t>CENTRINNO - rješenja za regeneraciju industrijskih povijesnih mjesta</t>
  </si>
  <si>
    <t>A679078.636</t>
  </si>
  <si>
    <t>ERASMUS Jačanje kapaciteta u visokom obrazovanju</t>
  </si>
  <si>
    <t>A679078.635</t>
  </si>
  <si>
    <t>Erasmus+ MELLE - Modernizacija pravnog obrazovanja u europskom pravu</t>
  </si>
  <si>
    <t>A679078.634</t>
  </si>
  <si>
    <t>EULAW - projekti obuke pravosudnih stručnjaka</t>
  </si>
  <si>
    <t>A679078.633</t>
  </si>
  <si>
    <t>ERASMUS+ KA2 Krajolici za učenje</t>
  </si>
  <si>
    <t>A679078.632</t>
  </si>
  <si>
    <t>Interreg D-Care Labs</t>
  </si>
  <si>
    <t>A679078.631</t>
  </si>
  <si>
    <t>Integrirani sustav uzgoja alternativnih vrsta školjkaša u uvjetima klimatskih promjena</t>
  </si>
  <si>
    <t>A679078.630</t>
  </si>
  <si>
    <t>A679078.629</t>
  </si>
  <si>
    <t>Razvoj naprednog IT sustava za precizno određivanje broja ljudi u otvorenim i zatvorenim prostorima (IRI)</t>
  </si>
  <si>
    <t>A679078.628</t>
  </si>
  <si>
    <t>Obrazovana potraga za visokotemperaturnom supravodljivošću u novim elektroničkim materijalima</t>
  </si>
  <si>
    <t>A679078.627</t>
  </si>
  <si>
    <t>RiskMan - Jačanje obrazovnih kapaciteta za upravljanje rizicima</t>
  </si>
  <si>
    <t>A679078.626</t>
  </si>
  <si>
    <t>HYSTORIES- podzemno skladištenja vodika u Europi</t>
  </si>
  <si>
    <t>A679078.625</t>
  </si>
  <si>
    <t>WAI4PwD - Web pristupačnost i ostale inicijative za osobe s invaliditetom u EU tijekom pandemije</t>
  </si>
  <si>
    <t>A679078.623</t>
  </si>
  <si>
    <t>Erasmus+ Oralno potencijalno maligni poremećaji: izobrazba zdravstvenih djelatnika</t>
  </si>
  <si>
    <t>A679078.622</t>
  </si>
  <si>
    <t>e-DESK - Digitalne i poduzetničke vještine europskih učitelja u svijetu COVID-19</t>
  </si>
  <si>
    <t>A679078.621</t>
  </si>
  <si>
    <t>A679078.620</t>
  </si>
  <si>
    <t>FORMALS-HRZZ UIP-2017-05-2019</t>
  </si>
  <si>
    <t>A679078.619</t>
  </si>
  <si>
    <t>HELA</t>
  </si>
  <si>
    <t>A679078.618</t>
  </si>
  <si>
    <t>MODERNE MISLEĆE ŽENE-HRZZ IP-01-2018</t>
  </si>
  <si>
    <t>A679078.617</t>
  </si>
  <si>
    <t>SIMON - inteligentni sustav za automatski odabir algoritma strojnog učenja</t>
  </si>
  <si>
    <t>A679078.616</t>
  </si>
  <si>
    <t>ERASMUS+  DE01-KA203-005728 CONNECTED</t>
  </si>
  <si>
    <t>A679078.615</t>
  </si>
  <si>
    <t>UNIC -Europsko sveučilište za postindustrijske gradove</t>
  </si>
  <si>
    <t>A679078.614</t>
  </si>
  <si>
    <t>UNIC4ER - Europsko sveučilište postindustrijskih gradova Ka suradničkom pristupu i strukturi prema angažiranom istraživanju</t>
  </si>
  <si>
    <t>A679078.613</t>
  </si>
  <si>
    <t>IRI CSTI - platforma za dohvat i analizu strukturiranih i nestrukturiranih podataka</t>
  </si>
  <si>
    <t>A679078.612</t>
  </si>
  <si>
    <t>A ROADMAP OUT OF MEDICAL DESERTS INTO SUPPORTIVE HEALTH WORK FORCE INITIATIVES AND POLICIES - ROUTE-HWF</t>
  </si>
  <si>
    <t>A679078.611</t>
  </si>
  <si>
    <t>ERASMUS + MEĐUNARODNA SURADNJA</t>
  </si>
  <si>
    <t>A679078.610</t>
  </si>
  <si>
    <t>EUROPEAN INFRASTRUCTURE FOR TRANSLATIONAL MEDICINE (EATRIS PLUS) - H2020</t>
  </si>
  <si>
    <t>A679078.609</t>
  </si>
  <si>
    <t>Istraživanje neuropatologije poremećaja iz spektra autizma i shizofrenije</t>
  </si>
  <si>
    <t>A679078.608</t>
  </si>
  <si>
    <t>RE-DWELL</t>
  </si>
  <si>
    <t>A679078.600</t>
  </si>
  <si>
    <t>SUSTINEO ESF</t>
  </si>
  <si>
    <t>A679078.599</t>
  </si>
  <si>
    <t>Third sector impact</t>
  </si>
  <si>
    <t>A679078.597</t>
  </si>
  <si>
    <t>HORIZON 2020: Children Online: Research and Evidence (CO:RE)</t>
  </si>
  <si>
    <t>A679078.596</t>
  </si>
  <si>
    <t>Curated Multilingual Language Resources for CEF AT (CURLICAT)</t>
  </si>
  <si>
    <t>A679078.595</t>
  </si>
  <si>
    <t>Rhetoric for Innovative Education  RHEFINE</t>
  </si>
  <si>
    <t>A679078.593</t>
  </si>
  <si>
    <t>Encounters and Transformations in Iron Age Europe (ENTRANS</t>
  </si>
  <si>
    <t>A679078.592</t>
  </si>
  <si>
    <t>Erasmus + „Introducing Intellectual Property Education for Lifelong Learning and the Knowledge Economy-IPEDU”</t>
  </si>
  <si>
    <t>A679078.591</t>
  </si>
  <si>
    <t>Erasmus + Developing a new curriculum in Global Migration, Diaspora and Border Studies in East-Central Europe (GLocalEAst)”</t>
  </si>
  <si>
    <t>A679078.590</t>
  </si>
  <si>
    <t>Erasmus + Reforming Foreigne Languages in Academia in Montenegro - ReFALME</t>
  </si>
  <si>
    <t>A679078.589</t>
  </si>
  <si>
    <t>RURASL Rural 3.0: Service Learning for the Rural Development</t>
  </si>
  <si>
    <t>A679078.588</t>
  </si>
  <si>
    <t>COORDINATE„COhort cOmmunity Research and Development Infrastructure Network for Access Throughout</t>
  </si>
  <si>
    <t>A679078.587</t>
  </si>
  <si>
    <t>P-S-I Podrška Studenata u Integraciji marginaliziranih skupina na tržište rada</t>
  </si>
  <si>
    <t>A679078.586</t>
  </si>
  <si>
    <t>Learning how to Teach, Teaching how to Learn. Facing Challenges of Global Change in Higher Education Using Digital Tools for Reflective, Critical and Inclusive Learning on European Historical Landscapes – EDiToR</t>
  </si>
  <si>
    <t>A679078.584</t>
  </si>
  <si>
    <t>HORIZON 2020 - SHARE-COVID 19</t>
  </si>
  <si>
    <t>A679078.583</t>
  </si>
  <si>
    <t>TERRAGOV</t>
  </si>
  <si>
    <t>A679078.582</t>
  </si>
  <si>
    <t>ERASMUS + 2020-1-PL01-KA203-081980 - SUSTA</t>
  </si>
  <si>
    <t>A679078.578</t>
  </si>
  <si>
    <t>FOReSiGHT</t>
  </si>
  <si>
    <t>A679078.576</t>
  </si>
  <si>
    <t>COLECO- ERASMUS + 2019-1-UK01-KA201-062118</t>
  </si>
  <si>
    <t>A679078.575</t>
  </si>
  <si>
    <t>Modeliranje procesa farmaceutskog sušenja raspršivanjem emulzije u laboratorijskom I pilotnom mjerilu</t>
  </si>
  <si>
    <t>A679078.574</t>
  </si>
  <si>
    <t>HRZZ projekti</t>
  </si>
  <si>
    <t>A679078.573</t>
  </si>
  <si>
    <t>T-LOGIC - Uspostava sustava za automatizaciju rada i autonomno odlučivanje u logistici samoposlužnih aparata</t>
  </si>
  <si>
    <t>A679078.572</t>
  </si>
  <si>
    <t>SUZE - Sustav za otkrivanje zlonamjernih elektroničkih transakcija zasnovan na strojnom učenju</t>
  </si>
  <si>
    <t>A679078.571</t>
  </si>
  <si>
    <t>PINIOT - Platforma za inteligentno i energetski efikasno upravljanje industrijskim Iot uređajima</t>
  </si>
  <si>
    <t>A679078.570</t>
  </si>
  <si>
    <t>PBM-PLIN - Iskorištenje manje kvalitetnih i nestalnih plinova za proizvodnju električne energije, uporabom Umjetne Inteligencije za miješanje plinova</t>
  </si>
  <si>
    <t>A679078.569</t>
  </si>
  <si>
    <t>NGLI - povećanje razvoja novih proizvoda i usluga koji proizilaze iz aktivnosti istraživanja i razvoja</t>
  </si>
  <si>
    <t>A679078.567</t>
  </si>
  <si>
    <t>INUKING - Razvoj inovativnog programskog rješenja za centralizirani nadzor i upravljanje kritičnom infrastukturom</t>
  </si>
  <si>
    <t>A679078.566</t>
  </si>
  <si>
    <t>4VENT - Razvoj niza četverousisnih ventilatora za industrijska postrojenja</t>
  </si>
  <si>
    <t>A679078.565</t>
  </si>
  <si>
    <t>SIMBLOLTE - Simbioza pametnih objekata u okruženjima Interneta stvari</t>
  </si>
  <si>
    <t>A679078.561</t>
  </si>
  <si>
    <t>PAPABUILD - Napredne akustičke i psihoakustičke dijagnostičke metode kao temelj inovativnog dizajna u građevinskoj akustici</t>
  </si>
  <si>
    <t>A679078.560</t>
  </si>
  <si>
    <t>AGROEKO - Napredni sustav motrenja agroekosustava u riziku od zaslanjivanja i onečišćenja</t>
  </si>
  <si>
    <t>A679078.546</t>
  </si>
  <si>
    <t>HRZZ IP-2019-04 MORENEC</t>
  </si>
  <si>
    <t>A679078.541</t>
  </si>
  <si>
    <t>Jednoslojni polarimetar gama zračenja za primjene u medicinskom oslikavanju i za temeljna istraživanja u fizici</t>
  </si>
  <si>
    <t>A679078.538</t>
  </si>
  <si>
    <t>Klimatske promjene  - Agrobioraznolikost</t>
  </si>
  <si>
    <t>A679078.537</t>
  </si>
  <si>
    <t>CSRP- Hrvatsko-Švicarski program- Investigation of substrate and editing specificity in tRNA synthetases and the mechanism of antibiotic action</t>
  </si>
  <si>
    <t>A679078.536</t>
  </si>
  <si>
    <t>CSRP- Hrvatsko-Švicarski program- Dynamics of virus infection in mycovirus-mediated biological control of fungal pathogen</t>
  </si>
  <si>
    <t>A679078.535</t>
  </si>
  <si>
    <t>CSRP- Hrvatsko-švicarski program- Probabilistic and analytical aspects of generalised regular variation</t>
  </si>
  <si>
    <t>A679078.534</t>
  </si>
  <si>
    <t>Klima- 4HR- Klimatska ranjivost Hrvatske i mogućnosti prilagodbe urbanih i prirodnih okoliša</t>
  </si>
  <si>
    <t>A679078.533</t>
  </si>
  <si>
    <t>"OPSVIO- Ortho-positronium decay and the search for CP and CPT violation in leptonic secto"</t>
  </si>
  <si>
    <t>A679078.532</t>
  </si>
  <si>
    <t>DRYvER- Securing biodiversity- HORIZON 2020</t>
  </si>
  <si>
    <t>A679078.531</t>
  </si>
  <si>
    <t>ICSI Interreg</t>
  </si>
  <si>
    <t>A679078.528</t>
  </si>
  <si>
    <t>Upravljanje krškim priobalnim vodonosnicima (UKV)</t>
  </si>
  <si>
    <t>A679078.527</t>
  </si>
  <si>
    <t>Unaprjeđenje oporavlišta za divlje životinje na Veterinarskom fakultetu - WildRescouVEF, KK.06.5.2.04.0007.</t>
  </si>
  <si>
    <t>A679078.526</t>
  </si>
  <si>
    <t>Znanost spaja ljude (SCOPE - Science Connecting people)</t>
  </si>
  <si>
    <t>A679078.525</t>
  </si>
  <si>
    <t>H2020 Productive Green Infrastructure for post-industrial urban regeneration</t>
  </si>
  <si>
    <t>A679078.524</t>
  </si>
  <si>
    <t>ERASMUS Capacity building in higher education</t>
  </si>
  <si>
    <t>A679078.522</t>
  </si>
  <si>
    <t>ERASMUS Learning Landscapes- LELA</t>
  </si>
  <si>
    <t>A679078.521</t>
  </si>
  <si>
    <t>Potencijal rizosfernog mikrobioma u prilagodbi poljoprivrede klimatskim promjenama - PERSPIRE</t>
  </si>
  <si>
    <t>A679078.520</t>
  </si>
  <si>
    <t>ERASMUS Trainers for plant protection in organic farming- TOPPlant</t>
  </si>
  <si>
    <t>A679078.519</t>
  </si>
  <si>
    <t>Proizvodnja, hrane, biokompozita i biogoriva iz žitarica u kružnom biogospodarstvu</t>
  </si>
  <si>
    <t>A679078.518</t>
  </si>
  <si>
    <t>Dizajn naprednih biokompozita iz energetski održivih izvora- BIOKOMPOZITI</t>
  </si>
  <si>
    <t>A679078.517</t>
  </si>
  <si>
    <t>Agrobioraznolikost- osnova za prilagodbu i ublažavanje promjena klimatskih promjena u poljoprivredi</t>
  </si>
  <si>
    <t>A679078.516</t>
  </si>
  <si>
    <t>A679078.515</t>
  </si>
  <si>
    <t>ERASMUS Transnational Quality Education for Organic Food Saftey- SAFE Orgfood</t>
  </si>
  <si>
    <t>A679078.514</t>
  </si>
  <si>
    <t>OBZOR2020- Legumes in biodiversity based farming systems in Mediterranean basin</t>
  </si>
  <si>
    <t>A679078.513</t>
  </si>
  <si>
    <t>Jačanje kapaciteta CerVirVac-a za istraživanja u virusnoj imunologiji i vakcinologiji</t>
  </si>
  <si>
    <t>A679078.512</t>
  </si>
  <si>
    <t>RAPTOVAX - Robusne i adaptabilne biološke platforme za nova cjepiva</t>
  </si>
  <si>
    <t>A679078.511</t>
  </si>
  <si>
    <t>EIT MANUFACTURING RIS HUB</t>
  </si>
  <si>
    <t>A679078.510</t>
  </si>
  <si>
    <t>Utjecaj glikozilacije transferina na vezivanje željeza - GlyTransFer</t>
  </si>
  <si>
    <t>A679078.509</t>
  </si>
  <si>
    <t>IRI projekt Povećanje razvoja novih proizvoda i usluga koji proizlaze iz aktivnosti istraživanja i razvoja</t>
  </si>
  <si>
    <t>A679078.508</t>
  </si>
  <si>
    <t>Personalized Medicine Inquiry-Based Education (PROMISE) Grant agreement: br. 2019-1-HR01-KA203-061010- </t>
  </si>
  <si>
    <t>A679078.507</t>
  </si>
  <si>
    <t>RCT-ESF</t>
  </si>
  <si>
    <t>A679078.503</t>
  </si>
  <si>
    <t>BALKAN HOMICIDE STUDY</t>
  </si>
  <si>
    <t>A679078.502</t>
  </si>
  <si>
    <t>JEAN MONNET MODULE</t>
  </si>
  <si>
    <t>A679078.500</t>
  </si>
  <si>
    <t>ENEMLOS</t>
  </si>
  <si>
    <t>A679078.499</t>
  </si>
  <si>
    <t>EUROGRADUATE</t>
  </si>
  <si>
    <t>A679078.498</t>
  </si>
  <si>
    <t>JEAN MONNET ACTIVITIES</t>
  </si>
  <si>
    <t>A679078.496</t>
  </si>
  <si>
    <t>EIO-LAPD</t>
  </si>
  <si>
    <t>A679078.495</t>
  </si>
  <si>
    <t>TODO</t>
  </si>
  <si>
    <t>A679078.494</t>
  </si>
  <si>
    <t>FIGHTER</t>
  </si>
  <si>
    <t>A679078.493</t>
  </si>
  <si>
    <t>A679078.491</t>
  </si>
  <si>
    <t>Erasmus+: Architecture's afterlife: The multi-sector impact of an architectural qualification 2019-1-UK01-KA203-062062</t>
  </si>
  <si>
    <t>A679078.490</t>
  </si>
  <si>
    <t>Erasmus+: Healthy Urban Environment: Developing higer education in Architecture and Construction in Bosnia and Herzegovina (2018-2480/001-001)</t>
  </si>
  <si>
    <t>A679078.489</t>
  </si>
  <si>
    <t>A679078.488</t>
  </si>
  <si>
    <t>Erasmus+ Programme 2014-2020, Agreement no.2016-1-TR01-KA203-034710</t>
  </si>
  <si>
    <t>A679078.487</t>
  </si>
  <si>
    <t>H2020 INCEPTION</t>
  </si>
  <si>
    <t>A679078.486</t>
  </si>
  <si>
    <t>NZEB ROADSHOW-H2020</t>
  </si>
  <si>
    <t>A679078.485</t>
  </si>
  <si>
    <t>Better future of healthy ageing 2020.</t>
  </si>
  <si>
    <t>A679078.482</t>
  </si>
  <si>
    <t>VODIME - Vode Imotske krajine</t>
  </si>
  <si>
    <t>A679078.478</t>
  </si>
  <si>
    <t>VHEASTR-Znanstvenoistraživačka aktivnost hrvatske grupe u kolaboracijama MAGIC I CTA</t>
  </si>
  <si>
    <t>A679078.477</t>
  </si>
  <si>
    <t>UGRIP - microGRId Positioning</t>
  </si>
  <si>
    <t>A679078.473</t>
  </si>
  <si>
    <t>TETRAMAX-TEchnology TRAnsfer via Multinational Application eXperiments</t>
  </si>
  <si>
    <t>A679078.472</t>
  </si>
  <si>
    <t>TEAMSOC21 - The ICT Engineer of the 21st Century: Mastering Technical Competencies, Management Skills, and Societal Responsibilities</t>
  </si>
  <si>
    <t>A679078.471</t>
  </si>
  <si>
    <t>STRIDE-Energetsko planiranje integracijom koncepata pametne mreže u Dunavskoj regiji</t>
  </si>
  <si>
    <t>A679078.470</t>
  </si>
  <si>
    <t>SPRAY-Razvoj sustava za ispitivanje višefaznih strujanja i izgaranja s ciljem povećanja istraživačkih aktivnosti znanstvenog i poslovnog sektora</t>
  </si>
  <si>
    <t>A679078.469</t>
  </si>
  <si>
    <t>SMARTSOC-Edukacija budućih IKT stručnjaka na temelju potreba pametnog društva (SmartSoc)</t>
  </si>
  <si>
    <t>A679078.468</t>
  </si>
  <si>
    <t>SHVET-Pametni pristup razvoju strukovnih vještina za visokoobrazovanu i mobilnu radnu snagu</t>
  </si>
  <si>
    <t>A679078.467</t>
  </si>
  <si>
    <t>SENFUS-Fuzija senzora</t>
  </si>
  <si>
    <t>A679078.466</t>
  </si>
  <si>
    <t>SAFELOG-Sigurna interakcija ljudi i robota u logističkim primjenama za visoko fleksibilna skladišta</t>
  </si>
  <si>
    <t>A679078.464</t>
  </si>
  <si>
    <t>ROTOTEMP - Nova generacija telemetrijske tehnologije za mjerenje na rotacijskim komponentama spojke</t>
  </si>
  <si>
    <t>A679078.463</t>
  </si>
  <si>
    <t>ROBOGIRLS - Osnaživanje djevojaka u STEAM-u kroz robotiku i kodiranje</t>
  </si>
  <si>
    <t>A679078.461</t>
  </si>
  <si>
    <t>RESDATA - Rješenja prilagodbe elektroenergetskog sustava klimatskim promjenama temeljena na velikim količinama podataka</t>
  </si>
  <si>
    <t>A679078.458</t>
  </si>
  <si>
    <t>OPENLOT-Open Source blueprint for large scale self-organizing cloud environments for IoT applications</t>
  </si>
  <si>
    <t>A679078.454</t>
  </si>
  <si>
    <t>OKTUKOM-Osiguravanje kvalitete telekomunikacijskih usluga korištenjem mehanizma kibernetičke sigurnosti</t>
  </si>
  <si>
    <t>A679078.453</t>
  </si>
  <si>
    <t>NOFTUNE - Nefosterovske mreže za podesive i šrokopojasne radiofrekvencjske uređaje</t>
  </si>
  <si>
    <t>A679078.452</t>
  </si>
  <si>
    <t>MUNIVO - Razvoj MUltifunkcionalnog NIskopodnog VOzila</t>
  </si>
  <si>
    <t>A679078.450</t>
  </si>
  <si>
    <t>METASHAPE-Napredni ručni detektori metala s mogućnošću diskriminacije oblika mete za uporabu u humanitarnom razminiranju</t>
  </si>
  <si>
    <t>A679078.446</t>
  </si>
  <si>
    <t>MERIA - Matematičko obrazovanje - značajno, zanimljivo i primjenjivo</t>
  </si>
  <si>
    <t>A679078.445</t>
  </si>
  <si>
    <t>MBZIRC - The Mohamed Bin Zayed medjunarodno natjecanje iz robotike</t>
  </si>
  <si>
    <t>A679078.444</t>
  </si>
  <si>
    <t>MAGEF-Tehnologija električnih strojeva s trajnim magnetima za povećanje energetske učinkovitosti u električnoj vuči i brodskoj propulziji</t>
  </si>
  <si>
    <t>A679078.442</t>
  </si>
  <si>
    <t>LAMCAB - Razvoj tehnologije povezivanja komponenti upravljačkih električnih ormara upotrebom laminiranih vodiča</t>
  </si>
  <si>
    <t>A679078.441</t>
  </si>
  <si>
    <t>IRI-RPA-Razvoj potopljenog agregata za male hidroelektrane s niskim padom vode</t>
  </si>
  <si>
    <t>A679078.438</t>
  </si>
  <si>
    <t>IRI2-OIE - Integrirano rješenje za upravljanje imovinom i podršku investicijskim procesima projektiranja, planiranja i provedbe izgradnje obnovljivih izvora energije</t>
  </si>
  <si>
    <t>A679078.437</t>
  </si>
  <si>
    <t>INTIS-Punionica električnih vozila s integriranim baterijskim spremnikom</t>
  </si>
  <si>
    <t>A679078.435</t>
  </si>
  <si>
    <t>IMMERSAFE-Uronjene vizualne tehnologije za sigurnosno kritične aplikacije</t>
  </si>
  <si>
    <t>A679078.433</t>
  </si>
  <si>
    <t>IAC-Tečaj industrijske akustike o buci, utjecaju buke na ljude i buci okoliša</t>
  </si>
  <si>
    <t>A679078.430</t>
  </si>
  <si>
    <t>HKO-ELE - Primjena Hrvatskog kvalifikacijskog okvira za sveučilišne studijske programe u području elektrotehnike</t>
  </si>
  <si>
    <t>A679078.429</t>
  </si>
  <si>
    <t>HELB-Sustav za optimizaciju gubitaka u naprednim mrežama</t>
  </si>
  <si>
    <t>A679078.428</t>
  </si>
  <si>
    <t>EUMR-Istraživačka infrastrukturna mreža u području pomorske robotike</t>
  </si>
  <si>
    <t>A679078.418</t>
  </si>
  <si>
    <t>EULIFT - Razvoj pametnog modularnog sustava upravljanja pogonom dizala za povećanje energetske učinkovitosti zgrade</t>
  </si>
  <si>
    <t>A679078.417</t>
  </si>
  <si>
    <t>ENDORSE-Efikasno brusenje robotskim sustavom potpomognuto HORSE okruženjem</t>
  </si>
  <si>
    <t>A679078.415</t>
  </si>
  <si>
    <t>EKO-KOMVOZ - Ekološki prihvatljivo vozilo za čišćenje javnih površina sa sustavima autonomnog upravljanja zasnovanim na umjetnoj inteligenciji</t>
  </si>
  <si>
    <t>A679078.414</t>
  </si>
  <si>
    <t>DUV-NRKBE - Razvoj daljinski upravljanog vozila za djelovanje u ekstremnim NRKBE uvjetima</t>
  </si>
  <si>
    <t>A679078.413</t>
  </si>
  <si>
    <t>DIGIT- Dig IT - Izrada standarda zanimanja i standarda kvalifikacija u djelatnostima računarstva</t>
  </si>
  <si>
    <t>A679078.410</t>
  </si>
  <si>
    <t>CUVME2 - Kooperativna bespilotna vozila u pomorskom okruženju: Eksperimenti na moru 2</t>
  </si>
  <si>
    <t>A679078.407</t>
  </si>
  <si>
    <t>COGSTEPS - Crossing the Gap: Startup edukacija i potpora doktorandima, istraživačima i znanstvenicima</t>
  </si>
  <si>
    <t>A679078.405</t>
  </si>
  <si>
    <t>CMETA-Analysis and design of curved metamaterial structures"</t>
  </si>
  <si>
    <t>A679078.404</t>
  </si>
  <si>
    <t>CE-PEP-Razvoj inovativnog polifaznog elektromotornog pogona - PEP</t>
  </si>
  <si>
    <t>A679078.403</t>
  </si>
  <si>
    <t>CASHPRED-Predviđanje vremena i obrazaca ponašanja novčanih tokova u međunarodnim bankovnim računima</t>
  </si>
  <si>
    <t>A679078.400</t>
  </si>
  <si>
    <t>CALIPER-	Projekt CALIPER: Povezivanje istraživanja i inovacija za ravnopravnost spolova"</t>
  </si>
  <si>
    <t>A679078.399</t>
  </si>
  <si>
    <t>CADDY-Cognitive autonomous diving buddy</t>
  </si>
  <si>
    <t>A679078.398</t>
  </si>
  <si>
    <t>AWAKE - Ultra low power wake-up interfaces for autonomous robotic sensor networks in sea/subsea environments</t>
  </si>
  <si>
    <t>A679078.397</t>
  </si>
  <si>
    <t>AIDEFEND-Sustav umjetne inteligencije za autonomni nadzor i upravljanje sigurnosti cloud okruženja - AI DFENDER</t>
  </si>
  <si>
    <t>A679078.393</t>
  </si>
  <si>
    <t>AEROWIND-Autonomna inspekcija vjetroelektrana primjenom bespilotnih letjelica</t>
  </si>
  <si>
    <t>A679078.392</t>
  </si>
  <si>
    <t>ADRIATIC - Unaprjeđenje sposobnosti interakcije ronilac-robot</t>
  </si>
  <si>
    <t>A679078.391</t>
  </si>
  <si>
    <t>GEOBIZ-ERASMUS+Ka2 IZGRADNJA KAPACITETA U PODRUČJU VISOKOG OBRAZOVANJA</t>
  </si>
  <si>
    <t>A679078.386</t>
  </si>
  <si>
    <t>ERASMUS+SDI AND EO EDUCATION AND TRAINING FOR NORTH AFRICA(SEED4NA)</t>
  </si>
  <si>
    <t>A679078.385</t>
  </si>
  <si>
    <t>SPIDER ERASMUS+STRATEGIC PARTNERSHIP</t>
  </si>
  <si>
    <t>A679078.384</t>
  </si>
  <si>
    <t>TODO-TWINING OPEN DANA</t>
  </si>
  <si>
    <t>A679078.383</t>
  </si>
  <si>
    <t>HKO Zadar</t>
  </si>
  <si>
    <t>A679078.382</t>
  </si>
  <si>
    <t>E-rudito: Napredni online obrazovni sustav za pametnu specijalizaciju i poslove budućnosti</t>
  </si>
  <si>
    <t>A679078.379</t>
  </si>
  <si>
    <t>HRZZ Golobalni humanizmi:Novi pogledi na Srednji Vijek</t>
  </si>
  <si>
    <t>A679078.378</t>
  </si>
  <si>
    <t>12-HERA-JRP-CE-FP-091 projekt ENTRAS Encounters and Transformationa in Iron Age Europe</t>
  </si>
  <si>
    <t>A679078.376</t>
  </si>
  <si>
    <t>A679078.375</t>
  </si>
  <si>
    <t>Erasmus+, aktivnost Strateško partnerstvo HERISTEM - STEM in Heritage Sciences</t>
  </si>
  <si>
    <t>A679078.374</t>
  </si>
  <si>
    <t>Erasmus+ Development of innovative approach for training for university professors to work in the modern diverse and intercultural environment, UniCulture</t>
  </si>
  <si>
    <t>A679078.373</t>
  </si>
  <si>
    <t>CEF PRINCIPLE Providing Resources in Irish, Norwegian, Croatian and Icelandic for Purposes of Language Engineering</t>
  </si>
  <si>
    <t>A679078.371</t>
  </si>
  <si>
    <t>CEF MARCELL Multilingual Resources for CEF.AT in the legal domain</t>
  </si>
  <si>
    <t>A679078.370</t>
  </si>
  <si>
    <t>Obzor 2020. ERASE_GBV Education and Raising Awareness in Schools to Prevent and Encounter Gender-Based Violence: Developing and implementing a training programme for teachers and other professionals at school</t>
  </si>
  <si>
    <t>A679078.369</t>
  </si>
  <si>
    <t>KLIMA-4HR</t>
  </si>
  <si>
    <t>A679078.366</t>
  </si>
  <si>
    <t>Tenure Track Pilot Programe - Exotic Nuclear Structure and Dynamics</t>
  </si>
  <si>
    <t>A679078.365</t>
  </si>
  <si>
    <t>HORIZON 2020- DRYVER</t>
  </si>
  <si>
    <t>A679078.363</t>
  </si>
  <si>
    <t>HKO FIZKO- Sveučilište u Rijeci</t>
  </si>
  <si>
    <t>A679078.362</t>
  </si>
  <si>
    <t>HKO akademija u hodu</t>
  </si>
  <si>
    <t>A679078.361</t>
  </si>
  <si>
    <t>Umreženi stacionarni baterijski spremnici energije KK.01.1.1.04.0034</t>
  </si>
  <si>
    <t>A679078.358</t>
  </si>
  <si>
    <t>ERASMUS+ Challenges and practices of teaching economic disciplines in era of digitalization 2020-1-HR01-KA202-0777771</t>
  </si>
  <si>
    <t>A679078.356</t>
  </si>
  <si>
    <t>ERASMUS+ Education Curricula Development on the Collaborative Economy in Europe COLECO (2019-1-UK01-KA201-062118)</t>
  </si>
  <si>
    <t>A679078.355</t>
  </si>
  <si>
    <t>ERASMUS + K2, 1.1.2020.-31.12.2022., 612248-EPP-1-2019-BG-EPPKA2-KA, ICT IN TEXTILE AND CLOTHING HIGHER EDUCATION I BUSINESS</t>
  </si>
  <si>
    <t>A679078.354</t>
  </si>
  <si>
    <t>SumBoost</t>
  </si>
  <si>
    <t>A679078.351</t>
  </si>
  <si>
    <t>SLAIN</t>
  </si>
  <si>
    <t>A679078.350</t>
  </si>
  <si>
    <t>SABRINA</t>
  </si>
  <si>
    <t>A679078.349</t>
  </si>
  <si>
    <t>ERASMUS+mobilnost osoblja zmeđu programskih i partnerskih zemalja u svrhu podučavanja KA 107</t>
  </si>
  <si>
    <t>A679078.347</t>
  </si>
  <si>
    <t>ERASMUS + Projekt: SC4H Network</t>
  </si>
  <si>
    <t>A679078.346</t>
  </si>
  <si>
    <t>EFRR- IRI SMART UTX: Pametni modularni sustav za ultrazvučnu dijagnostiku u ekstremnim uvjetima</t>
  </si>
  <si>
    <t>A679078.344</t>
  </si>
  <si>
    <t>EFRR- IRI PC-ATE-Buildings- Razvoj sustava prediktivnog upravljanja i automatskog trovanja energijom u zgradi</t>
  </si>
  <si>
    <t>A679078.343</t>
  </si>
  <si>
    <t>EFRR- IRI OperOSS- Istraživanja i razvoj naprednog sustava za upravljanje pametnim elektroenergetskim i komunikacijskim mrežama</t>
  </si>
  <si>
    <t>A679078.342</t>
  </si>
  <si>
    <t>EFRR- IRI Omega GS- Razvoj otvorene pametne mreže energetski učinkovite javne LED rasvjete</t>
  </si>
  <si>
    <t>A679078.341</t>
  </si>
  <si>
    <t>EFRR- IRI MAS- Razvoj multifunkcionalnog antiterorističkog sustava</t>
  </si>
  <si>
    <t>A679078.340</t>
  </si>
  <si>
    <t>EFRR- IRI Mareton - Razvoj nove generacije industrijskih modularnih, redundantnih, višeizlaznih sustava neprekidnog napajanja istosmjernim i izmjeničnim naponima</t>
  </si>
  <si>
    <t>A679078.339</t>
  </si>
  <si>
    <t>EFRR- IRI KONTRAC - Razvoj pretvarača glavnog pogona tramvaja sa superkondezatorskim modulom</t>
  </si>
  <si>
    <t>A679078.338</t>
  </si>
  <si>
    <t>EFRR-IRI KONPRO 2 - Razvoj nove generacije uređaja numeričke zaštite</t>
  </si>
  <si>
    <t>A679078.337</t>
  </si>
  <si>
    <t>EFRR-IRI HSG - Helm Smart Grid</t>
  </si>
  <si>
    <t>A679078.336</t>
  </si>
  <si>
    <t>EFRR-IRI Geolux- 4D akustična kamera</t>
  </si>
  <si>
    <t>A679078.335</t>
  </si>
  <si>
    <t>EFRR-IR EKORAS24- Ekološki prihvatljiva rastavna sklopka 24kV za napredne mreže</t>
  </si>
  <si>
    <t>A679078.334</t>
  </si>
  <si>
    <t>EFRR-IR-II DFDM- Istraživanje i razvoj sustava za prepoznavanje umora i distrakcije vozača</t>
  </si>
  <si>
    <t>A679078.333</t>
  </si>
  <si>
    <t>EFRR-IR-II CloudSec- Sigurnost računarstva u oblaku prilikom korištenja mobilnih aplikacija</t>
  </si>
  <si>
    <t>A679078.332</t>
  </si>
  <si>
    <t>EFRR-IR-II bigEVdata- IT rješenja analitike velikih skupova podataka emobilnosti</t>
  </si>
  <si>
    <t>A679078.330</t>
  </si>
  <si>
    <t>EFRR-IR-II Agrivi Smart- povećanje produktivnosti uzgoja krumpira uz pomoć algoritma strojnog učenja</t>
  </si>
  <si>
    <t>A679078.329</t>
  </si>
  <si>
    <t>EFRR-IR-II SUPELEK- Sustav za upravljanje potrošnjom električne energije u kućanstvima</t>
  </si>
  <si>
    <t>A679078.328</t>
  </si>
  <si>
    <t>EFRR-IR-II SOC4- Platforma za nadzor ugroza u heterogenim mrežnim okruženjima</t>
  </si>
  <si>
    <t>A679078.327</t>
  </si>
  <si>
    <t>EFRR-IR-II SMAGRILOS- Sustav za optimizaciju gubitaka u naprednim mrežama</t>
  </si>
  <si>
    <t>A679078.326</t>
  </si>
  <si>
    <t>EFRR-IR-II SARI- Sustava za automatsko raspoznavanje, identifikaciju te precizno mjerenje duljine plovila</t>
  </si>
  <si>
    <t>A679078.325</t>
  </si>
  <si>
    <t>EFRR-IR-II RPA-NPV- Razvoj potopljenog agregata za male hidroelektrane s niskim padom vode</t>
  </si>
  <si>
    <t>A679078.324</t>
  </si>
  <si>
    <t>EFRR- UZI RESIN- Razvoj sustava za ispitivanje visefaznih strujanja i izgaranja s ciljem povećanja istraživačkih aktivnosti znanstvenog i poslovnog spektra</t>
  </si>
  <si>
    <t>A679078.323</t>
  </si>
  <si>
    <t>EFRR-IR-II Pinova- Razvoj agrometeorološke platforme i mreže IoT uređaja tvrtke Pinova d.o.o.</t>
  </si>
  <si>
    <t>A679078.322</t>
  </si>
  <si>
    <t>EFRR-IR-II PEP- Razvoj inovativnog polifaznog elektromotornog pogona</t>
  </si>
  <si>
    <t>A679078.321</t>
  </si>
  <si>
    <t>EFRR-IR-II PCC- Sustav za nadzor i kontrolu usklađenosti distribuiranih procesa u realnom vremenu, otkrivanje anomalija, rano upozoravanje i forenzičku analizu transakcije</t>
  </si>
  <si>
    <t>A679078.320</t>
  </si>
  <si>
    <t>EFRR-IR-II LAMCAB- Razvoj tehnologije povezivanja komponenti upravljačkih električnih ormara upotrebom laminiranih vodica</t>
  </si>
  <si>
    <t>A679078.319</t>
  </si>
  <si>
    <t>EFRR-IR-II IRI2-OIE- Integrirano rješenje za upravljanje imovinom i podršku investicijskim procesima projektiranja, planiranja i provedbe izgradnje obnovljivih izvora energije</t>
  </si>
  <si>
    <t>A679078.318</t>
  </si>
  <si>
    <t>EFRR-IR-II GMP- Razvoj Greyp platforme za mikromobilnost GMP</t>
  </si>
  <si>
    <t>A679078.317</t>
  </si>
  <si>
    <t>EFRR-IR-II ENEDAT- Razvoj pametnog modularnog sustava upravljanja pogonom dizala za povećanje energetske učinkovitosti zgrade</t>
  </si>
  <si>
    <t>A679078.316</t>
  </si>
  <si>
    <t>EFRR-IR-II ENEDAT- Razvoj sustava za optimalizaciju potrošnje električne energije u podatkovnim centrima</t>
  </si>
  <si>
    <t>A679078.315</t>
  </si>
  <si>
    <t>EFRR-IR-II DRUNE- Razvoj uređaja za prijenos video signala ultra niske latencije</t>
  </si>
  <si>
    <t>A679078.314</t>
  </si>
  <si>
    <t>EFRR-IR-II cyberAUT- Inovativno rješenje za upravljanje kibernetickom sigurnosti industrijskih sustava automatizacije postrojenja i procesa</t>
  </si>
  <si>
    <t>A679078.313</t>
  </si>
  <si>
    <t>EFFRR-CEKOM-SUS- Centar kompetencija za kibernetičku sigurnost upravljačkih sustava</t>
  </si>
  <si>
    <t>A679078.312</t>
  </si>
  <si>
    <t>EFRR-IR-II CEGlog- Istraživanje i razvoj jedinstvenog sustava za logističku i transportnu optimizaciju</t>
  </si>
  <si>
    <t>A679078.311</t>
  </si>
  <si>
    <t>EFRR-IR-II BatEVCharg - Punionica električnih vozila s integriranim baterijskim spremnikom</t>
  </si>
  <si>
    <t>A679078.310</t>
  </si>
  <si>
    <t>EFRR-IR-II A-UNIT- Istraživanje i razvoj napredne jedinice za autonomno upravljanje mobilnim vozilima u logistici</t>
  </si>
  <si>
    <t>A679078.309</t>
  </si>
  <si>
    <t>EFRR-IR-II AIPD2- Digitalna platforma za zaštitu privatnosti i sprječavanje zloupotreba životnim ciklusom osobnih podataka- AIPD3</t>
  </si>
  <si>
    <t>A679078.308</t>
  </si>
  <si>
    <t>EFRR-IR-II Al Defender- Sustav umjetne inteligencije za automatski nadzor i upravljanje sigurnosti cloud okruženja - AL DEFENDER</t>
  </si>
  <si>
    <t>A679078.307</t>
  </si>
  <si>
    <t>EFRR - Klimatske promjene AgroSPARC- Napredna i prediktivna poljoprivreda za otpornost klimatskim promjenama</t>
  </si>
  <si>
    <t>A679078.306</t>
  </si>
  <si>
    <t>EFRR-IR-II AACES- Odlučivanje u upravljanju elektroenergetskim sustavom u uvjetima nesigurnosti uvjetovanih klimatskim promjenama - AACES</t>
  </si>
  <si>
    <t>A679078.305</t>
  </si>
  <si>
    <t>INTERREG-IT-HR InnovaMare- Plava tehnologija - razvijanje inovativnih tehnologija za održivosti Jadranskog mora</t>
  </si>
  <si>
    <t>A679078.304</t>
  </si>
  <si>
    <t>INTERREG-DUNAV DanuP-2-Gas-DanuP-2-Gas: Inovativni model za potporu sigurnosti i diversifikaciju u dunavskoj regiji kombiniranjem energije iz biomase s viskovima obnovljive energije</t>
  </si>
  <si>
    <t>A679078.303</t>
  </si>
  <si>
    <t>EERR-IRI-II RI2MOFA - Razvoj inteligentne interaktivne modularne fasade</t>
  </si>
  <si>
    <t>A679078.302</t>
  </si>
  <si>
    <t>INTERREG Central Europe Store4HUC- Integracija i napredno gospodarenje sustavima za pohranu energije na povijesnim lokalitetima u gradovima</t>
  </si>
  <si>
    <t>A679078.301</t>
  </si>
  <si>
    <t>Erasmus + dijalog u obrazovanju odraslih (DIA)</t>
  </si>
  <si>
    <t>A679078.300</t>
  </si>
  <si>
    <t>Potencijal mikroinkapsulacije u proizvodnji sireva</t>
  </si>
  <si>
    <t>A679078.299</t>
  </si>
  <si>
    <t>Dijagnostički značaj kalprotektina u ranom prepoznavanju upalnih stanja</t>
  </si>
  <si>
    <t>A679078.298</t>
  </si>
  <si>
    <t>ERASMUS+ CCC4ECEC - Kompetencija za obrazovanje i njegu u ranom djetinjstvu usmjerena na dijete</t>
  </si>
  <si>
    <t>A679078.296</t>
  </si>
  <si>
    <t>PRI-MJER</t>
  </si>
  <si>
    <t>A679078.295</t>
  </si>
  <si>
    <t>RIS obrazovanje i poduzetništvo</t>
  </si>
  <si>
    <t>A679078.294</t>
  </si>
  <si>
    <t>RM@Schools-ESEE - Povezivanje obrazovnih ustanova u ESEE regiji s industrijom</t>
  </si>
  <si>
    <t>A679078.293</t>
  </si>
  <si>
    <t>MOBI-US - Prijevod programa na engleski za suradnju s drugim fakultetima u Europi s istim programima</t>
  </si>
  <si>
    <t>A679078.292</t>
  </si>
  <si>
    <t>ERASMUS + KA2 PROMISE - Obrazovanje zasnovano na upitima za personaliziranu medicinu</t>
  </si>
  <si>
    <t>A679078.291</t>
  </si>
  <si>
    <t>KLIMOD - Računalni model strujanja, poplavljivanja i širenja onečišćenja u rijekama i obalnim morskim područjima</t>
  </si>
  <si>
    <t>A679078.290</t>
  </si>
  <si>
    <t>IRI- REMAKE - Razvoj efikasne metodologije za analizu konstrukcije plovnih objekata metodom konačnih elemenata</t>
  </si>
  <si>
    <t>A679078.289</t>
  </si>
  <si>
    <t>ECOBIAS -  ekološko praćenje i procjenu vodenih bioloških ustanova</t>
  </si>
  <si>
    <t>A679078.288</t>
  </si>
  <si>
    <t>CroViZone - Prilagodba vinogradarskih zona RH klimatskim promjenama</t>
  </si>
  <si>
    <t>A679078.287</t>
  </si>
  <si>
    <t>The ONE - mehanizam sparivanja i stvaranja bozonskih kvazičestica</t>
  </si>
  <si>
    <t>A679078.286</t>
  </si>
  <si>
    <t>MARILIA - testovi za detekciju patogena u uzorcima vode</t>
  </si>
  <si>
    <t>A679078.285</t>
  </si>
  <si>
    <t>RESTORE - Procjena ostataka crvenog blata u regiji</t>
  </si>
  <si>
    <t>A679078.284</t>
  </si>
  <si>
    <t>IRI- IMforFUTURE - aktivnosti istraživanja i razvoja</t>
  </si>
  <si>
    <t>A679078.283</t>
  </si>
  <si>
    <t>MEMORIE Mjere prilagodbe klimatskim promjenama za održivo upravljanje prirodnim resursima</t>
  </si>
  <si>
    <t>A679078.282</t>
  </si>
  <si>
    <t>ERASMUS+  KA2 TIME</t>
  </si>
  <si>
    <t>A679078.281</t>
  </si>
  <si>
    <t>ANEUPLOIDIJA - Molekularno podrijetlo aneuploidija u zdravih i bolesnih ljudskih tkiva</t>
  </si>
  <si>
    <t>A679078.280</t>
  </si>
  <si>
    <t>TODO-HORIZON 2020.</t>
  </si>
  <si>
    <t>A679078.276</t>
  </si>
  <si>
    <t>A679078.274</t>
  </si>
  <si>
    <t>HKO projekt Unapređenje postojećeg integriranog preddiplomskog i diplomskog studijskog programa Medicina</t>
  </si>
  <si>
    <t>A679078.272</t>
  </si>
  <si>
    <t>Obzor 2020 LiverScreen - Probir na fibrozu jetre - populacijsko istraživanje u europskim zemljama</t>
  </si>
  <si>
    <t>A679078.271</t>
  </si>
  <si>
    <t>Erasmus + EPL Europska licenca za propisivanje</t>
  </si>
  <si>
    <t>A679078.270</t>
  </si>
  <si>
    <t>Projekt: Stvaranje mehanizama za kontinuiranu provedba sportskog kluba za zdravlje u Europskoj uniji</t>
  </si>
  <si>
    <t>A679078.269</t>
  </si>
  <si>
    <t>WE-CARE Projekt: Uspostavljanjem nacionalne skrbi i razvojnim centrima podržavamo elitne sportaše u uravnoteženju rezultata sporta i obrazovanja / zapošljavanja</t>
  </si>
  <si>
    <t>A679078.268</t>
  </si>
  <si>
    <t>OBZOR 2020 Znanost i tehnologija u politici pretilosti djece- STOP</t>
  </si>
  <si>
    <t>A679078.267</t>
  </si>
  <si>
    <t>BUILDUP -SKILLSBANK-H2020</t>
  </si>
  <si>
    <t>A679078.266</t>
  </si>
  <si>
    <t>BUS - GoCircular-H2020</t>
  </si>
  <si>
    <t>A679078.265</t>
  </si>
  <si>
    <t>Potrošački angažman u obnovi zgrada i obnovi za klimatske akcije na terenu</t>
  </si>
  <si>
    <t>A679078.264</t>
  </si>
  <si>
    <t>TRANSBOT -H2020</t>
  </si>
  <si>
    <t>A679078.263</t>
  </si>
  <si>
    <t>OVERFLOW  EU mehanizmi civilne zaštite</t>
  </si>
  <si>
    <t>A679078.262</t>
  </si>
  <si>
    <t>ERASMUS PLUS CSETIR</t>
  </si>
  <si>
    <t>A679078.261</t>
  </si>
  <si>
    <t>DuRSAAM</t>
  </si>
  <si>
    <t>A679078.260</t>
  </si>
  <si>
    <t>HILAR</t>
  </si>
  <si>
    <t>A679078.259</t>
  </si>
  <si>
    <t>IRCiS Integriranje izbjegličke djece u škole: mješovita studija o učinkovitosti kontakt-u-škole za izgradnju pozitivnih međugrupnih odnosa između djece izbjeglica i domaćina</t>
  </si>
  <si>
    <t>A679078.258</t>
  </si>
  <si>
    <t>CLEOPATRA - Višejezična istraživačka akademija Open Analytics usmjerena na događaje</t>
  </si>
  <si>
    <t>A679078.257</t>
  </si>
  <si>
    <t>Primjena Hrvatskog kvalifikacijskog okvira u području biomedicinskog inženjerstva - HKO-BI</t>
  </si>
  <si>
    <t>A679078.253</t>
  </si>
  <si>
    <t>Razvoj hibridnog skidera - HISKID</t>
  </si>
  <si>
    <t>A679078.252</t>
  </si>
  <si>
    <t>Istraživanje i razvoj specijaliziranih multirotornih bespilotnih letjelica SPECDRON</t>
  </si>
  <si>
    <t>A679078.251</t>
  </si>
  <si>
    <t>ASAP-Autonomni sustav za pregled i predviđanje integriteta prometne infrastrukture</t>
  </si>
  <si>
    <t>A679078.249</t>
  </si>
  <si>
    <t>Edukacijom o strukturnim i investicijskim fondovima do inovacija u poduzetništvu</t>
  </si>
  <si>
    <t>A679078.248</t>
  </si>
  <si>
    <t>DATACROSS -Napredne metode i tehnologije u znanosti o podatcima i kooperativnim sustavima</t>
  </si>
  <si>
    <t>A679078.247</t>
  </si>
  <si>
    <t>APROPO- Autonomno Pomoćno RibarskO PlovilO</t>
  </si>
  <si>
    <t>A679078.246</t>
  </si>
  <si>
    <t>MORZ - Mreža organizacija ribara i znanstvenika</t>
  </si>
  <si>
    <t>A679078.244</t>
  </si>
  <si>
    <t>OPORTO -Optimizacija održavanja sustava antikorozivne zaštite i zaštite protiv obraštanja ribarskih brodova</t>
  </si>
  <si>
    <t>A679078.243</t>
  </si>
  <si>
    <t>ELPID - platforma za e-učenje za inovativni razvoj proizvoda</t>
  </si>
  <si>
    <t>A679078.242</t>
  </si>
  <si>
    <t>RCK Ruđera Boškovića</t>
  </si>
  <si>
    <t>A679078.241</t>
  </si>
  <si>
    <t>Regionalni centar kompetentnosti u strukovnom obrazovanju u strojarstvu-Industrija 4.0</t>
  </si>
  <si>
    <t>A679078.239</t>
  </si>
  <si>
    <t>NRLE - Nacionalni referentni laboratorij za emisije iz motora s unutarnjim izgaranjem za necestovne pokretne strojeve</t>
  </si>
  <si>
    <t>A679078.238</t>
  </si>
  <si>
    <t>Osiguranje električne energije u slučaju klimatskih ekstrema i prirodnih katastrofa</t>
  </si>
  <si>
    <t>A679078.237</t>
  </si>
  <si>
    <t>ProbeTrace - Sljedivost za mjerenje kontaktnih sondi i olovnih instrumenata</t>
  </si>
  <si>
    <t>A679078.236</t>
  </si>
  <si>
    <t>SEAVIEWS- Sektorski prilagodljivi virtualni sustav ranog upozoravanja na zagađenje mora</t>
  </si>
  <si>
    <t>A679078.235</t>
  </si>
  <si>
    <t>SEEETD-Dijalog o tranziciji energije u jugoistočnoj Europi</t>
  </si>
  <si>
    <t>A679078.234</t>
  </si>
  <si>
    <t>REWARDHEAT- Uporaba topline iz obnovljivih izvora i otpada za konkurentne mreže daljinskog grijanja i hlađenja</t>
  </si>
  <si>
    <t>A679078.233</t>
  </si>
  <si>
    <t>BLUE DEAL -  plava energija u mediteranskim obalnim područjima</t>
  </si>
  <si>
    <t>A679078.232</t>
  </si>
  <si>
    <t>SEADRION - Poticanje širenja tehnologija grijanja i hlađenja pomoću pumpe morske vode u jadransko-jonskoj regiji</t>
  </si>
  <si>
    <t>A679078.231</t>
  </si>
  <si>
    <t>MetForTC - Sljedive mjerne mogućnosti za praćenje rada termoparova</t>
  </si>
  <si>
    <t>A679078.230</t>
  </si>
  <si>
    <t>SumBoost 2020 RIS Inovacija</t>
  </si>
  <si>
    <t>A679078.229</t>
  </si>
  <si>
    <t>SESAR FMP MET - sektorska aplikacija s konvektivnim vremenskim informacijama za više izvora za položaj upravljanja protokom</t>
  </si>
  <si>
    <t>A679078.228</t>
  </si>
  <si>
    <t>SESAR AISA - automatizaciju u upravljanju zračnim prometom</t>
  </si>
  <si>
    <t>A679078.227</t>
  </si>
  <si>
    <t>MEDIADELCOM</t>
  </si>
  <si>
    <t>A679078.226</t>
  </si>
  <si>
    <t>DEBATING EUROPE (620428-EPP-1-2020-1-DE-EPPJMO-NETWORK)</t>
  </si>
  <si>
    <t>A679078.225</t>
  </si>
  <si>
    <t>ANETREC (611487-EPP-1-2019-1-SI-EPPJMO-NETWORK)</t>
  </si>
  <si>
    <t>A679078.224</t>
  </si>
  <si>
    <t>H2020 - LC-SC3 FARCROSS Omogućavanje regionalne trgovine/razmjene električne energije kroz inovacije</t>
  </si>
  <si>
    <t>A679078.223</t>
  </si>
  <si>
    <t>H2020 - LCE - SGS CROSSBOW - CROSS BOARD Upravljanje promjenjivim obnovljivim izvorima energije i jedinicama za skladištenje omogućujući transnacionalno veletržnicu</t>
  </si>
  <si>
    <t>A679078.221</t>
  </si>
  <si>
    <t>H2020 – WIDESPREAD – Twinning AeRoTwin - Twinning koordinacijska akcija za širenje izvrsnosti i sudjelovanja u zračnoj robotici – AeRoTwin</t>
  </si>
  <si>
    <t>A679078.220</t>
  </si>
  <si>
    <t>H2020 - SGA EPI SGA1 - Inicijativa za Europski procesor</t>
  </si>
  <si>
    <t>A679078.219</t>
  </si>
  <si>
    <t>H2020 - SC5 REWAISE Elastična inovacija vode za pametnu ekonomiju</t>
  </si>
  <si>
    <t>A679078.218</t>
  </si>
  <si>
    <t>H2020 - LC-SC3 FLEXIGRID - Interoperabilna rješenja za holističku implementaciju usluga fleksibilnosti u distribucijskoj mreži</t>
  </si>
  <si>
    <t>A679078.217</t>
  </si>
  <si>
    <t>H2020 - JTI-EuroHPC - MEEP - Eksperimentalna platforma</t>
  </si>
  <si>
    <t>A679078.216</t>
  </si>
  <si>
    <t>H2020 - NMBP - ENCORE - BIM Cloud platforma svjesna energije, u ekonomičnom kontekstu renoviranja zgrada</t>
  </si>
  <si>
    <t>A679078.215</t>
  </si>
  <si>
    <t>H2020 - ICT AERIAL-CORE - Kognitivni integrirani višenamjenski robotski sustav s proširenim opsegom rada i sigurnošću</t>
  </si>
  <si>
    <t>A679078.214</t>
  </si>
  <si>
    <t>H2020-WIDESPREAD-2018-2020  Katedra za umjetnu inteligenciju za robotiku</t>
  </si>
  <si>
    <t>A679078.213</t>
  </si>
  <si>
    <t>ERASMUS + KA2 - Strateška partnerstva RoboGirls Osnaživanje djevojaka u STEAM-u kroz robotiku i kodiranje</t>
  </si>
  <si>
    <t>A679078.212</t>
  </si>
  <si>
    <t>ERASMUS+KA2 - Strateška partnerstva IMPACT - Inteligentni Pomorski Sustavi - put prema održivom obrazovanju, znanju i osnaživanju</t>
  </si>
  <si>
    <t>A679078.211</t>
  </si>
  <si>
    <t>ERASMUS+KA2 - Strateška partnerstva INNOSID</t>
  </si>
  <si>
    <t>A679078.210</t>
  </si>
  <si>
    <t>ERASMUS+KA2 - Strateška partnerstva ASKNOW</t>
  </si>
  <si>
    <t>A679078.209</t>
  </si>
  <si>
    <t>ERASMUS+KA2 - Strateška partnerstva SmartSoc</t>
  </si>
  <si>
    <t>A679078.208</t>
  </si>
  <si>
    <t>ERASMUS+KA2 - Strateška partnerstva Geo3N</t>
  </si>
  <si>
    <t>A679078.207</t>
  </si>
  <si>
    <t>ERASMUS+KA2 Startup obrazovanje i podrška studentima doktorskih studija, istraživačima i znanstvenicima</t>
  </si>
  <si>
    <t>A679078.206</t>
  </si>
  <si>
    <t>Razvoj dvostruke fasade s hermetički zatvorenom šupljinom (H-CCF)</t>
  </si>
  <si>
    <t>A679078.204</t>
  </si>
  <si>
    <t>Centar pametnih urbanih i ruralnih prostora - Inovativna urbanistička i arhitektonska rješenja za povećanje energetske učinkovitosti u tradicijskim i zaštičenim cjelinama</t>
  </si>
  <si>
    <t>A679078.203</t>
  </si>
  <si>
    <t>H2020- upravljanje poljoprivrednom hranom</t>
  </si>
  <si>
    <t>A679078.200</t>
  </si>
  <si>
    <t>H2020-Swafs</t>
  </si>
  <si>
    <t>A679078.199</t>
  </si>
  <si>
    <t>LIFE 18 NAT/HR/00847- Dinara povratak životu</t>
  </si>
  <si>
    <t>A679078.198</t>
  </si>
  <si>
    <t>ERASMUS+ WeRln - Žene poduzetetnice u regionalnim uključivim ekosustavima</t>
  </si>
  <si>
    <t>A679078.197</t>
  </si>
  <si>
    <t>ERASMUS + TEACH4EDU4</t>
  </si>
  <si>
    <t>A679078.195</t>
  </si>
  <si>
    <t>Hibridne metoda umjetne inteligencije za računalne igre</t>
  </si>
  <si>
    <t>A679078.194</t>
  </si>
  <si>
    <t>IC4HEDS</t>
  </si>
  <si>
    <t>A679078.193</t>
  </si>
  <si>
    <t>LOMI</t>
  </si>
  <si>
    <t>A679078.192</t>
  </si>
  <si>
    <t>RAST</t>
  </si>
  <si>
    <t>A679078.191</t>
  </si>
  <si>
    <t>ERASMUS + E-DigiLit</t>
  </si>
  <si>
    <t>A679078.189</t>
  </si>
  <si>
    <t>ERASMUS + EDUBOTS</t>
  </si>
  <si>
    <t>A679078.188</t>
  </si>
  <si>
    <t>ORKAN</t>
  </si>
  <si>
    <t>A679078.187</t>
  </si>
  <si>
    <t>IRI CEKOM</t>
  </si>
  <si>
    <t>A679078.186</t>
  </si>
  <si>
    <t>ERASMUS+projekt FitBack</t>
  </si>
  <si>
    <t>A679078.163</t>
  </si>
  <si>
    <t>STEM revolucija u zajednici</t>
  </si>
  <si>
    <t>A679078.156</t>
  </si>
  <si>
    <t>EFRR - IRI RASCO-FER-SMART-EV - Kompaktna gradska vakuumska čistilica</t>
  </si>
  <si>
    <t>A679078.153</t>
  </si>
  <si>
    <t>POP-UP</t>
  </si>
  <si>
    <t>A679078.152</t>
  </si>
  <si>
    <t>CEKOM Centar kompetencija u molekularnoj dijagnostici</t>
  </si>
  <si>
    <t>A679078.151</t>
  </si>
  <si>
    <t>IRCiS Integracija djece izbjeglica u škole: izgradnja pozitivnih odnosa između djece izbjeglica i djece lokalnog stanovništva</t>
  </si>
  <si>
    <t>A679078.150</t>
  </si>
  <si>
    <t>EFRR - IRI SMART UTX - SMART UTX:  Sustav za ultrazvučnu dijagnostiku u ekstremnim uvjetima</t>
  </si>
  <si>
    <t>A679078.148</t>
  </si>
  <si>
    <t>EFRR - IRI SafeTRAM - SafeTRAM - Sustav za povećanje sigurnosti vožnje tračničkog prometa</t>
  </si>
  <si>
    <t>A679078.147</t>
  </si>
  <si>
    <t>EFRR - IRI PC-ATE-Buildings - Razvoj sustava upravljanja i trgovanja energijom u zgradi</t>
  </si>
  <si>
    <t>A679078.146</t>
  </si>
  <si>
    <t>EFRR - IRI Omega GS - Razvoj  LED rasvjete</t>
  </si>
  <si>
    <t>A679078.144</t>
  </si>
  <si>
    <t>EFRR - IRI Mareton - Razvoj nove generacije sustava neprekidnog napajanja</t>
  </si>
  <si>
    <t>A679078.142</t>
  </si>
  <si>
    <t>EFRR - IRI KONTRAC - KONTRAC GP170DC_SK - Razvoj pretvarača glavnog pogona tramvaja sa superkondenzatorskim modulom</t>
  </si>
  <si>
    <t>A679078.141</t>
  </si>
  <si>
    <t>EFRR - IRI HSG - Helm Smart Grid</t>
  </si>
  <si>
    <t>A679078.139</t>
  </si>
  <si>
    <t>EFRR - IRI DFDM - Istraživanje i razvoj sustava za prepoznavanje umora i distrakcije vozača</t>
  </si>
  <si>
    <t>A679078.137</t>
  </si>
  <si>
    <t>EFRR - IRI CloudSec - Sigurnost računarstva u oblaku prilikom korištenja mobilnih aplikacija</t>
  </si>
  <si>
    <t>A679078.135</t>
  </si>
  <si>
    <t>EFRR - IRI CCS - Cyber Conflict Simulator</t>
  </si>
  <si>
    <t>A679078.134</t>
  </si>
  <si>
    <t>EFRR - IRI bigEVdata - IT rješenje analitike velikih skupova podataka emobilnosti</t>
  </si>
  <si>
    <t>A679078.133</t>
  </si>
  <si>
    <t>EFRR - IRI ARIEN - Upravljanje energetskom infrastrukturom kroz kolaboraciju u proširenoj stvarnosti</t>
  </si>
  <si>
    <t>A679078.132</t>
  </si>
  <si>
    <t>EFRR - IRI Agrivi Smart - Agrivi Smart</t>
  </si>
  <si>
    <t>A679078.131</t>
  </si>
  <si>
    <t>ERASMUS + 2020-HR01-KA103</t>
  </si>
  <si>
    <t>A679078.130</t>
  </si>
  <si>
    <t>OBZOR 2020 - TO DO</t>
  </si>
  <si>
    <t>A679078.129</t>
  </si>
  <si>
    <t>EDU4GAMES - HKO</t>
  </si>
  <si>
    <t>A679078.127</t>
  </si>
  <si>
    <t>e-Škole B</t>
  </si>
  <si>
    <t>A679078.126</t>
  </si>
  <si>
    <t>ERASMUS+ PROGRAM PROJECT SOFTVETS 2018-1-HR01-KA203-047494</t>
  </si>
  <si>
    <t>A679078.125</t>
  </si>
  <si>
    <t>H2020-SC1-2016-2017-RIA PROJECT OSTEOPROSPINE</t>
  </si>
  <si>
    <t>A679078.124</t>
  </si>
  <si>
    <t>SMART</t>
  </si>
  <si>
    <t>A679078.122</t>
  </si>
  <si>
    <t>FOCUS -Prisilna raseljavanja i solidarnost zajednice domaćina prema izbjeglica</t>
  </si>
  <si>
    <t>A679078.120</t>
  </si>
  <si>
    <t>H 2020 RISE OpenInnoTrain</t>
  </si>
  <si>
    <t>A679078.118</t>
  </si>
  <si>
    <t>AMIGA</t>
  </si>
  <si>
    <t>A679078.117</t>
  </si>
  <si>
    <t>HORIZON 2020 FIT-TO-Nzeb</t>
  </si>
  <si>
    <t>A679078.116</t>
  </si>
  <si>
    <t>ANAGENNISI</t>
  </si>
  <si>
    <t>A679078.115</t>
  </si>
  <si>
    <t>BRIDGE SMS</t>
  </si>
  <si>
    <t>A679078.114</t>
  </si>
  <si>
    <t>CROSKILLS</t>
  </si>
  <si>
    <t>A679078.113</t>
  </si>
  <si>
    <t>EKO SANDWICH</t>
  </si>
  <si>
    <t>A679078.112</t>
  </si>
  <si>
    <t>EIT HEALTH - Local activities in Regional Innovation Scheme regions</t>
  </si>
  <si>
    <t>A679078.111</t>
  </si>
  <si>
    <t>AMED</t>
  </si>
  <si>
    <t>A679078.108</t>
  </si>
  <si>
    <t>STRATEGY CCUS</t>
  </si>
  <si>
    <t>A679078.107</t>
  </si>
  <si>
    <t>ENGIE.Poticanje djevojčica da studiraju geoznanosti i inženjerstvo</t>
  </si>
  <si>
    <t>A679078.106</t>
  </si>
  <si>
    <t>iTARG3T.Innovative targeting procesing of W-Sn-Ta-Li ores</t>
  </si>
  <si>
    <t>A679078.105</t>
  </si>
  <si>
    <t>MineHeritage</t>
  </si>
  <si>
    <t>A679078.104</t>
  </si>
  <si>
    <t>TrainESSE v.2</t>
  </si>
  <si>
    <t>A679078.103</t>
  </si>
  <si>
    <t>INTERREG CARNIVORA DINARICA - Prekogranična suradnja za dugoroočno očuvanje velikih zvijeri</t>
  </si>
  <si>
    <t>A679078.102</t>
  </si>
  <si>
    <t>EKHAGA</t>
  </si>
  <si>
    <t>A679078.101</t>
  </si>
  <si>
    <t>LIFE 16 NAT/SI/000634 PROJECT LIFE LYNX</t>
  </si>
  <si>
    <t>A679078.100</t>
  </si>
  <si>
    <t>OBZOR 2020-ISTRAŽIVANJE I INOVACIJE - H2020-MCCA-ITN-2017-EJD: 785423 MANNA</t>
  </si>
  <si>
    <t>A679078.099</t>
  </si>
  <si>
    <t>IA_CHILD</t>
  </si>
  <si>
    <t>A679078.098</t>
  </si>
  <si>
    <t>ASAP Training</t>
  </si>
  <si>
    <t>A679078.097</t>
  </si>
  <si>
    <t>ERASMUS + ASD-EAST</t>
  </si>
  <si>
    <t>A679078.096</t>
  </si>
  <si>
    <t>CROSSJUSTICE</t>
  </si>
  <si>
    <t>A679078.094</t>
  </si>
  <si>
    <t>CEPIL</t>
  </si>
  <si>
    <t>A679078.093</t>
  </si>
  <si>
    <t>ERASMUS+ HEDU -LEARN-IT Harmonizirani europski dermato-venerološki dodiplomski</t>
  </si>
  <si>
    <t>A679078.091</t>
  </si>
  <si>
    <t>OBZOR 2020 - Biochip BIO inženjerski grafti za liječenje hrskavice u pacijenata</t>
  </si>
  <si>
    <t>A679078.090</t>
  </si>
  <si>
    <t>OBZOR 2020 FAPIC - Brzi test za identifikaciju i karakterizaciju patogena</t>
  </si>
  <si>
    <t>A679078.089</t>
  </si>
  <si>
    <t>Erasmus+ KA2 CBHE - ODISsEA - Inovativne strategije darivanja organa za jugoistočnu Aziju</t>
  </si>
  <si>
    <t>A679078.088</t>
  </si>
  <si>
    <t>OBZOR 2020-OSTEOproSPINE - Novostenski lijek za regeneraciju kostiju</t>
  </si>
  <si>
    <t>A679078.087</t>
  </si>
  <si>
    <t>OBZOR 2020 Alliance4life, Savez za nauke o životu: Završne podjele u istraživanju i inovacijama u Europskoj uniji</t>
  </si>
  <si>
    <t>A679078.086</t>
  </si>
  <si>
    <t>INTERREG CHANGE WE CARE ITALIJA-HRVATSKA</t>
  </si>
  <si>
    <t>A679078.085</t>
  </si>
  <si>
    <t>HORIZON 2020 SOLARNET</t>
  </si>
  <si>
    <t>A679078.083</t>
  </si>
  <si>
    <t>BIMzeED</t>
  </si>
  <si>
    <t>A679078.082</t>
  </si>
  <si>
    <t>NET-UBIEP</t>
  </si>
  <si>
    <t>A679078.081</t>
  </si>
  <si>
    <t>EMPIR ADVANCT - Računalna tomografija AdvancE za dimenzionalna mjerenja površina u industriji</t>
  </si>
  <si>
    <t>A679078.080</t>
  </si>
  <si>
    <t>ERASMUS+ TRAILs LSP Ljetna škola za učitelje</t>
  </si>
  <si>
    <t>A679078.079</t>
  </si>
  <si>
    <t>ERASMUS+ CASPROD -Prijestolnice razvoja pametnih proizvoda</t>
  </si>
  <si>
    <t>A679078.078</t>
  </si>
  <si>
    <t>OBZOR 2020 NOWELTIES - Zajednički doktorski laboratorij za nove materijale i inovativne tehnologije pročišćavanja vode</t>
  </si>
  <si>
    <t>A679078.077</t>
  </si>
  <si>
    <t>OBZOR 2020 INSULAE - Maksimiziranje utjecaja inovativnih energetskih pristupa na otocima EU-a</t>
  </si>
  <si>
    <t>A679078.076</t>
  </si>
  <si>
    <t>OBZOR 2020 QUIET - Kvalificiranje i primjena korisničkog dizajniranog i EfficienT električnog vozila</t>
  </si>
  <si>
    <t>A679078.075</t>
  </si>
  <si>
    <t>OBZOR 2020 INEX ADAM - veća izvrsnost u proizvodnji naprednih aditiva</t>
  </si>
  <si>
    <t>A679078.074</t>
  </si>
  <si>
    <t>OBZOR 2020 KeepWarm - Poboljšanje performansi sustava daljinskog grijanja u srednjoj i istočnoj Europi</t>
  </si>
  <si>
    <t>A679078.073</t>
  </si>
  <si>
    <t>ERASMUS+  LOG-IN</t>
  </si>
  <si>
    <t>A679078.070</t>
  </si>
  <si>
    <t>RADAR (Procjena rizika na cestama područja Dunava)</t>
  </si>
  <si>
    <t>A679078.069</t>
  </si>
  <si>
    <t>H2020 Usporedna genomika beskralježnjaka koji nisu modelirani (IGNITE)</t>
  </si>
  <si>
    <t>A679078.067</t>
  </si>
  <si>
    <t>H2020 Pristup sistemske medicine za kronični infl.dis. (SYSCID)</t>
  </si>
  <si>
    <t>A679078.066</t>
  </si>
  <si>
    <t>H2020 Inovativni trening za metode u budućnosti (IMforFuture)</t>
  </si>
  <si>
    <t>A679078.065</t>
  </si>
  <si>
    <t>STRONG - 2020</t>
  </si>
  <si>
    <t>A679078.064</t>
  </si>
  <si>
    <t>H2020 –WIDESPREAD –Twinning koordinacijska akcija u području otvorenih podataka</t>
  </si>
  <si>
    <t>A679078.062</t>
  </si>
  <si>
    <t>A679078.061</t>
  </si>
  <si>
    <t>H2020 - NMBP ENCORE - BIM platforma u oblaku za energetski učinkovito i cjenovno efikasno renoviranje zgrada</t>
  </si>
  <si>
    <t>A679078.060</t>
  </si>
  <si>
    <t>Digital Traceablity Chain for AC Voltage and Current omogućit će dinamičko mjerenje strujnih i naponskih valnih oblika</t>
  </si>
  <si>
    <t>A679078.052</t>
  </si>
  <si>
    <t>H2020 DOIT Poduzetničke vještine mladih socijalnih inovatora u otvorenom digitalnom svijetu</t>
  </si>
  <si>
    <t>A679078.050</t>
  </si>
  <si>
    <t>ERASMUS+  Razvijanje pismenosti i usvajanje jezika obrazovanja kod djece u nepovoljnom položaju (manjine, migranti i ostale skupine)</t>
  </si>
  <si>
    <t>A679078.048</t>
  </si>
  <si>
    <t>EXERTER Mreža pan-europskih stručnjaka za sigurnost eksploziva</t>
  </si>
  <si>
    <t>A679078.044</t>
  </si>
  <si>
    <t>rESEErve Mineralni potencijal istočne i jugoistočne Europe (ESEE produčje)</t>
  </si>
  <si>
    <t>A679078.040</t>
  </si>
  <si>
    <t>InvestRM Multifaktorski model za ulaganja u sektor sirovina</t>
  </si>
  <si>
    <t>A679078.039</t>
  </si>
  <si>
    <t>Dubrovnik International ESEE Mining school Škola rudarstva za istočnu i jugoistočnu Europu</t>
  </si>
  <si>
    <t>A679078.038</t>
  </si>
  <si>
    <t>OBZOR 2020 UPGRADE DH Unaprjeđenje performansi daljinskog grijanja u Europi</t>
  </si>
  <si>
    <t>A679078.036</t>
  </si>
  <si>
    <t>OBZOR 2020 PROSEU  PROSumers FOR THE Energy Union: integriranje aktivnog sudjelovanja građana u tranziciju energije</t>
  </si>
  <si>
    <t>A679078.035</t>
  </si>
  <si>
    <t>OBZOR 2020 PentaHelix Inovativna metoda u provedbi održivog razvoja i klime</t>
  </si>
  <si>
    <t>A679078.034</t>
  </si>
  <si>
    <t>Immersive Visual Technologies (IVT) Vizualne tehnologije za sigurnosne aplikacije</t>
  </si>
  <si>
    <t>A679078.031</t>
  </si>
  <si>
    <t>TEchnology TRAnsfer putem višenacionalnih aplikacija eXperiments</t>
  </si>
  <si>
    <t>A679078.030</t>
  </si>
  <si>
    <t>ERASMUS+ projekt mobilnosti i aktivnosti studenata kroz istraživanja u inozemstvu</t>
  </si>
  <si>
    <t>A679078.024</t>
  </si>
  <si>
    <t>Obzor 2020  CEF - Poticanje istraživanja Connecting Europe Facilites i Norveške zaklade za znanost</t>
  </si>
  <si>
    <t>A679078.022</t>
  </si>
  <si>
    <t>ERASMUS+ Potpora za nastavno i nenastavno osoblje</t>
  </si>
  <si>
    <t>A679078.021</t>
  </si>
  <si>
    <t>ABCitiEs Razvoj novih vrsta poduzetničkih zajednica koje stvaraju atraktivnije lokalno poslovno okruženje</t>
  </si>
  <si>
    <t>A679078.020</t>
  </si>
  <si>
    <t>IRI HYPER - Razvoj inovativne platforme za digitalnu transformaciju poduzeća</t>
  </si>
  <si>
    <t>A679078.018</t>
  </si>
  <si>
    <t>IRI IDG - Razvoj inovativne platforme za digitalnu transformaciju poduzeća</t>
  </si>
  <si>
    <t>A679078.017</t>
  </si>
  <si>
    <t>e-Škole A projekt - Uspostava sustava razvoja digitalno zrelih škola</t>
  </si>
  <si>
    <t>A679078.016</t>
  </si>
  <si>
    <t>STRENGTH2FOOD  Istraživanje u cilju poboljšanja učinkovitosti programa EU o kvaliteti hrane</t>
  </si>
  <si>
    <t>A679078.015</t>
  </si>
  <si>
    <t>ASKFOOD Savez za vještine i znanje vezano za prehrambeni sektor</t>
  </si>
  <si>
    <t>A679078.014</t>
  </si>
  <si>
    <t>FITNESS Platforma za e-učenje svih aspekata pakiranja hrane</t>
  </si>
  <si>
    <t>A679078.013</t>
  </si>
  <si>
    <t>HORIZON 2020 BBI - Razvijanje funkcionalnih molekula za biološke premaze</t>
  </si>
  <si>
    <t>A679078.012</t>
  </si>
  <si>
    <t>Regional Center Adria Umrežavanje dionika sektora mineralnih neenergetskih sirovina</t>
  </si>
  <si>
    <t>A679078.011</t>
  </si>
  <si>
    <t>H2020  SAFE 10-T Razvoj sigurnosnog okvira za transportnu infrastrukturu</t>
  </si>
  <si>
    <t>A679078.010</t>
  </si>
  <si>
    <t>DESTination RAIL - FACT (Find, Analyse, Classify, Treat) alat za upravljanje željezničkom infrastrukturom</t>
  </si>
  <si>
    <t>A679078.009</t>
  </si>
  <si>
    <t>Napredni ručni detektori metala s mogućnošću diskriminacije oblika mete za uporabu u humanitarnom razminiranju</t>
  </si>
  <si>
    <t>A679078.006</t>
  </si>
  <si>
    <t>ADRIATIC  Unaprjeđenje sposobnosti interakcije ronilac-robot</t>
  </si>
  <si>
    <t>A679078.005</t>
  </si>
  <si>
    <t>Ostvarivanje sljedivosti za mjerenje kakvoće električne energije</t>
  </si>
  <si>
    <t>A679078.004</t>
  </si>
  <si>
    <t>ENDORSE Efikasno brusenje  robotskim sustavom potpomognuto HORSE okruženjem</t>
  </si>
  <si>
    <t>A679078.003</t>
  </si>
  <si>
    <t>AeRoTwin - Twinning koordinacijska akcija za širenje izvrsnosti i sudjelovanja u zračnoj robotici</t>
  </si>
  <si>
    <t>A679078.002</t>
  </si>
  <si>
    <t>CoSMass Projekt proučavanja razvoja rasta zvjezdane mase središnjih supermasivnih crnih rupa kroz kozmičko vrijeme</t>
  </si>
  <si>
    <t>A679078.001</t>
  </si>
  <si>
    <t>Forenzička identifikacija ljudskih ostataka analizom MSCT snimaka CTforID</t>
  </si>
  <si>
    <t>A679077.137</t>
  </si>
  <si>
    <t>BOWI - poticanje digitalnih inovacija</t>
  </si>
  <si>
    <t>A679077.136</t>
  </si>
  <si>
    <t>Unaprjeđenje kvalitete studiranja na pravnim fakultetima u RH</t>
  </si>
  <si>
    <t>A679077.135</t>
  </si>
  <si>
    <t>KOSIR OBO - primjenjivost novih tehnologija za oporabu biljnog otpada</t>
  </si>
  <si>
    <t>A679077.134</t>
  </si>
  <si>
    <t>FIZIODENT</t>
  </si>
  <si>
    <t>A679077.133</t>
  </si>
  <si>
    <t>MADE - Mobile Access Dental Clinic</t>
  </si>
  <si>
    <t>A679077.132</t>
  </si>
  <si>
    <t>SI4CARE - Socijalna inovacija za sveobuhvatnu zdravstvenu zaštitu starije populacije u regiji</t>
  </si>
  <si>
    <t>A679077.131</t>
  </si>
  <si>
    <t>CEKOM - centar kompetencija u molekularnoj dijagnostici</t>
  </si>
  <si>
    <t>A679077.130</t>
  </si>
  <si>
    <t>ZCIPM - Znanstveni centar izvrsnosti za personaliziranu medicinu</t>
  </si>
  <si>
    <t>A679077.129</t>
  </si>
  <si>
    <t>EICP (Evidence Implemantation in Clinical Practice) - medicina temeljena na dokazima</t>
  </si>
  <si>
    <t>A679077.128</t>
  </si>
  <si>
    <t>INTERIV - internacionalizacija studijskih programa morskog ribarstva i vojnog pomorstva</t>
  </si>
  <si>
    <t>A679077.127</t>
  </si>
  <si>
    <t>TaSDi-PBS - rješavanje pitanja vladanja u školi kroz podršku poželjnim oblicima ponašanja</t>
  </si>
  <si>
    <t>A679077.125</t>
  </si>
  <si>
    <t>Commix - jačanje pismenosti kod adolescenata kroz kreativno korištenje stripova</t>
  </si>
  <si>
    <t>A679077.124</t>
  </si>
  <si>
    <t>BEAGLE - bioetičko i vrijednosno obrazovanje</t>
  </si>
  <si>
    <t>A679077.123</t>
  </si>
  <si>
    <t>IRI Perm Beton-sustav odvodnje na horizontalnim površinama od propusnog betona</t>
  </si>
  <si>
    <t>A679077.122</t>
  </si>
  <si>
    <t>Erasmus+ KA131 2021</t>
  </si>
  <si>
    <t>A679077.121</t>
  </si>
  <si>
    <t>PINNA NOBILIS SSMA</t>
  </si>
  <si>
    <t>A679077.120</t>
  </si>
  <si>
    <t>IRI - povećanje razvoja novih proizvoda i usluga (lijepljeni lamelirani nosači od tvrdog drveta)</t>
  </si>
  <si>
    <t>A679077.119</t>
  </si>
  <si>
    <t>FAIR - automatsko institucionalno priznavanje</t>
  </si>
  <si>
    <t>A679077.118</t>
  </si>
  <si>
    <t>CHIC</t>
  </si>
  <si>
    <t>A679077.117</t>
  </si>
  <si>
    <t>Sustav za uspostavu stabilne elektro-distribucijske mreže (GRIDS)</t>
  </si>
  <si>
    <t>A679077.116</t>
  </si>
  <si>
    <t>Razvoj putničkog jedrenjaka s nultom emisijom ispušnih plinova</t>
  </si>
  <si>
    <t>A679077.115</t>
  </si>
  <si>
    <t>COST Action TU1208-znanstveno-tehnološka primjena radara za prodiranje u tlo u građevinarstvu</t>
  </si>
  <si>
    <t>A679077.114</t>
  </si>
  <si>
    <t>FirEURisk-holistička strategija za upravljenje požarima raslinja na području Europe</t>
  </si>
  <si>
    <t>A679077.113</t>
  </si>
  <si>
    <t>SI4CARE-  Socijalne inovacije za integriranu zdravstvenu njegu starijeg stanovništva u ADRION regijama</t>
  </si>
  <si>
    <t>A679077.112</t>
  </si>
  <si>
    <t>Projekt Horizon 2020-Nextgen Microfluidics    "Next generation test bed for upscaling of microfluidic devices based on nano-enabled surfaces and membranes"</t>
  </si>
  <si>
    <t>A679077.111</t>
  </si>
  <si>
    <t>Erasmus Mundus SUNBEAM -  Structured UNiversity mobility between the Balkans and Europe for the Adriatic-ionian Macro-region</t>
  </si>
  <si>
    <t>A679077.110</t>
  </si>
  <si>
    <t>Erasmus Plus Ka103 2020</t>
  </si>
  <si>
    <t>A679077.109</t>
  </si>
  <si>
    <t>Projekt Potential for Using SIT, Mating Disruption and Other IPM Tools to Eradicate Box Tree Moth Incursions in the U.S.</t>
  </si>
  <si>
    <t>A679077.108</t>
  </si>
  <si>
    <t>Projekt Horizon 2020-FF IPM "In-silico boosted, pest prevention and off-season focused IPM against new and emerging fruit flies ('OFF-Season' FF- IPM)"</t>
  </si>
  <si>
    <t>A679077.107</t>
  </si>
  <si>
    <t>MLE - EUROPSKA KOMISIJA - GOVERMENTAL EXPERTS</t>
  </si>
  <si>
    <t>A679077.106</t>
  </si>
  <si>
    <t>COST - NEW FRONTIERS OF PEER REVIEW</t>
  </si>
  <si>
    <t>A679077.105</t>
  </si>
  <si>
    <t>Erasmus+ mobilnost nastavnog i nenastavnog osblja u natječajnoj godini 2019</t>
  </si>
  <si>
    <t>A679077.103</t>
  </si>
  <si>
    <t>AUTORE - Automotive derivative energy system</t>
  </si>
  <si>
    <t>A679077.101</t>
  </si>
  <si>
    <t>Uspostava regionalnih centara kompetencija u strukovnom obrazovanju u odabranim sektorima</t>
  </si>
  <si>
    <t>A679077.099</t>
  </si>
  <si>
    <t>A679077.098</t>
  </si>
  <si>
    <t>Metode u istraživanju istraživanja MiRoR</t>
  </si>
  <si>
    <t>A679077.097</t>
  </si>
  <si>
    <t>EPISECC- Uspostaviti paneuropski informacijski prostor za poboljšanje sigurnosti građana</t>
  </si>
  <si>
    <t>A679077.096</t>
  </si>
  <si>
    <t>INQUAPH- Inovativni alati za ocjenu kvalitete za studije farmacije u Bosni i Hercegovini</t>
  </si>
  <si>
    <t>A679077.095</t>
  </si>
  <si>
    <t>ITSHEC- Integracija transverzalnih vještina u visoko obrazovanje i kurikulum zdravstvene i socijalne skrbi</t>
  </si>
  <si>
    <t>A679077.094</t>
  </si>
  <si>
    <t>Korištenje energije i zeleni javni prijevoz u budućim pametnim gradovima: Inovativni program podučavanja za studente, dionike i poduzetnike</t>
  </si>
  <si>
    <t>A679077.093</t>
  </si>
  <si>
    <t>Dalje od akademske zajednice: širenje horizonta karijere doktoranda u pomorskim i pomorskim znanostima u Europi</t>
  </si>
  <si>
    <t>A679077.092</t>
  </si>
  <si>
    <t>Jačanje održivih akcija, otpornosti, suradnje i usklađivanja širom i od strane Saveza SEA-EU</t>
  </si>
  <si>
    <t>A679077.091</t>
  </si>
  <si>
    <t>Bio zaštitne kulture i bioaktivni ekstrakti kao održive kombinirane strategije za poboljšanje roka trajanja kvarljive mediteranske hrane (BioProMedFood)</t>
  </si>
  <si>
    <t>A679077.090</t>
  </si>
  <si>
    <t>MareMathics- Inovativni pristup u matematičkom obrazovanju za studente pomorstva</t>
  </si>
  <si>
    <t>A679077.089</t>
  </si>
  <si>
    <t>Ispitni sloj sljedeće generacije za nadogradnju mikrofluidnih uređaja na bazi nano omogućenih površina i membrana</t>
  </si>
  <si>
    <t>A679077.088</t>
  </si>
  <si>
    <t>Europska akademija za poslovno i financijsko pravo</t>
  </si>
  <si>
    <t>A679077.086</t>
  </si>
  <si>
    <t>WRECKS4ALL: jačanje i diverzifikacija turističke ponude na Jadranu</t>
  </si>
  <si>
    <t>A679077.085</t>
  </si>
  <si>
    <t>CEKOM, Razvoj centara kompetencija</t>
  </si>
  <si>
    <t>A679077.084</t>
  </si>
  <si>
    <t>A679077.083</t>
  </si>
  <si>
    <t>IRA 16-CEKOM: Brodski pritezni sustavi namijenjeni pozicioniranju plovnih objekata</t>
  </si>
  <si>
    <t>A679077.082</t>
  </si>
  <si>
    <t>IRA 15-CEKOM: Razvoj paketa palubne opreme specijalnih brodova različitih namjena za uzgajališta ribe </t>
  </si>
  <si>
    <t>A679077.081</t>
  </si>
  <si>
    <t>IRA 12-CEKOM: Razvoj plutajuće platforme od umjetno zamrznute vode na zračnim komorama </t>
  </si>
  <si>
    <t>A679077.080</t>
  </si>
  <si>
    <t>IRA 11-CEKOM: Razvoj uređaja za praćenje rada brodskog motora analizom akustičnog signala </t>
  </si>
  <si>
    <t>A679077.079</t>
  </si>
  <si>
    <t>IRA 10-CEKOM: Razvoj inovativnog pristupa u procesu opremanja broda putem proširene stvarnosti </t>
  </si>
  <si>
    <t>A679077.078</t>
  </si>
  <si>
    <t>IRA 8-CEKOM: Razvoj novih konstrukcijskih i tehnoloških rješenja natpalubnih konstrukcija i elemenata od aluminijevih legura </t>
  </si>
  <si>
    <t>A679077.077</t>
  </si>
  <si>
    <t>IRA 7-CEKOM: Razvoj LNG spremnika za plovne objekte za skladištenje i regasifikaciju LNG-a </t>
  </si>
  <si>
    <t>A679077.076</t>
  </si>
  <si>
    <t>IRA5 CEKOM : Razvoj LNG sustava za brodove pogonjene motorima na dvojno gorivo (FO/LNG) </t>
  </si>
  <si>
    <t>A679077.075</t>
  </si>
  <si>
    <t>IRA 3-CEKOM: Inovativno rješenje vodomlaznog propulzora </t>
  </si>
  <si>
    <t>A679077.074</t>
  </si>
  <si>
    <t>IRA2-CEKOM: Razvoj napredne integralne numeričke procedure</t>
  </si>
  <si>
    <t>A679077.073</t>
  </si>
  <si>
    <t>IRA1 - CEKOM: Razvoj inovativnih kompozitnih struktura za zvučnu izolaciju</t>
  </si>
  <si>
    <t>A679077.072</t>
  </si>
  <si>
    <t>RCK</t>
  </si>
  <si>
    <t>A679077.071</t>
  </si>
  <si>
    <t>EUROCC -Nacionalni centri za kompetencije u okviru, Obzor 2020</t>
  </si>
  <si>
    <t>A679077.070</t>
  </si>
  <si>
    <t>CAAT</t>
  </si>
  <si>
    <t>A679077.069</t>
  </si>
  <si>
    <t>Pametni kulturni turizam kao pokretač održivog razvoja europskih regija</t>
  </si>
  <si>
    <t>A679077.068</t>
  </si>
  <si>
    <t>Razvoj karijera mladih istraživača</t>
  </si>
  <si>
    <t>A679077.067</t>
  </si>
  <si>
    <t>ISPIS – Razvoj funkcionalnog prototipa sustava za potrage i spašavanja ljudi pomoću bespilotnih letjelica</t>
  </si>
  <si>
    <t>A679077.066</t>
  </si>
  <si>
    <t>ASPEMS - Aktivni sustav za pohranu električne energije i stabilizaciju elektroenergetske mreže</t>
  </si>
  <si>
    <t>A679077.065</t>
  </si>
  <si>
    <t>Provedba HKO u stručnim studijima računarstva</t>
  </si>
  <si>
    <t>A679077.064</t>
  </si>
  <si>
    <t>ERASMUS+ KA104 Obrazovanje odraslih</t>
  </si>
  <si>
    <t>A679077.063</t>
  </si>
  <si>
    <t>mathSTEM - Podučavanje matematike i izrada smjernica za mathSTEM metodologiju</t>
  </si>
  <si>
    <t>A679077.062</t>
  </si>
  <si>
    <t>PROMISE -Personalizirana medicina- osnovna edukacija</t>
  </si>
  <si>
    <t>A679077.061</t>
  </si>
  <si>
    <t>GEOBIZ</t>
  </si>
  <si>
    <t>A679077.060</t>
  </si>
  <si>
    <t>Razvoj tehnologije za procjenu autopurifikacijskih sposobnosti priobalnih voda</t>
  </si>
  <si>
    <t>A679077.059</t>
  </si>
  <si>
    <t>FizKO - Razvoj studija fizike uz primjernu HKO</t>
  </si>
  <si>
    <t>A679077.058</t>
  </si>
  <si>
    <t>EUROfusion</t>
  </si>
  <si>
    <t>A679077.057</t>
  </si>
  <si>
    <t>Primjena HKO za sveučilišne studijske programe u području elektrotehnike</t>
  </si>
  <si>
    <t>A679077.056</t>
  </si>
  <si>
    <t>A679077.055</t>
  </si>
  <si>
    <t>DATACROSS – Napredne metode i tehnologije u znanosti o podacima i kooperativnim sustavima</t>
  </si>
  <si>
    <t>A679077.054</t>
  </si>
  <si>
    <t>RMPPI - HR-BA-ME262- Održiva prekogranična inicijativa za obnovljive mikroelektrane</t>
  </si>
  <si>
    <t>A679077.053</t>
  </si>
  <si>
    <t>SEA EU - Europsko sveučilište mora</t>
  </si>
  <si>
    <t>A679077.052</t>
  </si>
  <si>
    <t>BLUEWBC - Održivi razvoj BLUE ekonomija putem visokog obrazovanja i inovacija u zemljama zapadnog Balkana</t>
  </si>
  <si>
    <t>A679077.051</t>
  </si>
  <si>
    <t>Društvene znanosti i humanističke znanosti u međusektorskoj suradnji za bolje obrazovanje i održive inovacije</t>
  </si>
  <si>
    <t>A679077.050</t>
  </si>
  <si>
    <t>IP-ojačani, suzbijanje štetočina i izvan sezone IPM usmjeren protiv novih i novih voćnih muha</t>
  </si>
  <si>
    <t>A679077.049</t>
  </si>
  <si>
    <t>INTERREG  WATERCARE</t>
  </si>
  <si>
    <t>A679077.048</t>
  </si>
  <si>
    <t>INTERREG FAIRSEA- Ribolov u jadranskoj regiji zajednički pristup ekosustavu</t>
  </si>
  <si>
    <t>A679077.047</t>
  </si>
  <si>
    <t>INTERREG MED ARISTOIL</t>
  </si>
  <si>
    <t>A679077.046</t>
  </si>
  <si>
    <t>ERASMUS + Izgradnja kapaciteta za plavi rast i razvoj kurikuluma morskog ribarstva u Albaniji</t>
  </si>
  <si>
    <t>A679077.045</t>
  </si>
  <si>
    <t>SHExtreme</t>
  </si>
  <si>
    <t>A679077.044</t>
  </si>
  <si>
    <t>INTERREG Plastic Busters MPA: Očuvanje biološke raznolikosti od plastike u zaštićenim morskim područjima na Mediteranu</t>
  </si>
  <si>
    <t>A679077.043</t>
  </si>
  <si>
    <t>INTERREG AdSWiM - Upravljano korištenje pročišćenih komunalnih otpadnih voda radi kvalitete Jadranskog mora</t>
  </si>
  <si>
    <t>A679077.042</t>
  </si>
  <si>
    <t>INTERREG MoST - Monitoring prodora slane vode u obalne vodonosnike i testiranje pilot projekata za smanjenje štetnog utjecaja od zaslanjivanja</t>
  </si>
  <si>
    <t>A679077.041</t>
  </si>
  <si>
    <t>INTERREG E-CITIJENS - Sustav za podršku odlučivanju (SPO) u upravljanju hitnim situacijama za potrebe civilne zaštite zasnovan na građanskom novinarstvu, a za poboljšanje sigurnosti na području Jadrana</t>
  </si>
  <si>
    <t>A679077.040</t>
  </si>
  <si>
    <t>INTERREG DEEP-SEA – Razvoj planiranja energetske učinkovitosti i mobilnih usluga marina na Jadranskoj obali</t>
  </si>
  <si>
    <t>A679077.039</t>
  </si>
  <si>
    <t>INTERREG PMO-GATE - sprječavanje, upravljanje i prevladavanje rizika od prirodnih katastrofa radi ublažavanja njihova utjecaja na gospodarstvo i društvo</t>
  </si>
  <si>
    <t>A679077.038</t>
  </si>
  <si>
    <t>INTERREG-NET4mPLASTIC- Nove tehnologije za detekciju i analizu marko i mirkoplastike u Jadranskom bazenu</t>
  </si>
  <si>
    <t>A679077.037</t>
  </si>
  <si>
    <t>ERASMUS+  Partnerske zemlje KA107 Odlazne i dolazne mobilnosti studenata i osoblja Sveučilišta u Splitu</t>
  </si>
  <si>
    <t>A679077.035</t>
  </si>
  <si>
    <t>A679077.033</t>
  </si>
  <si>
    <t>ERASMUS+ Programske zemlje KA103 Mobilnost studenata i osoblja Sveučilišta u Splitu</t>
  </si>
  <si>
    <t>A679077.030</t>
  </si>
  <si>
    <t>A679077.029</t>
  </si>
  <si>
    <t>ERASMUS+ SpeculativeEDU projekt obrazovanja i stjecanja iskustva u području dizajna u nastajanju</t>
  </si>
  <si>
    <t>A679077.027</t>
  </si>
  <si>
    <t>EUROPEAID: INTERCAP projekt mijenjanja javne percepcije o migracijama, sigurnosti i održivom razvoju u međuzavisnom svijetu</t>
  </si>
  <si>
    <t>A679077.026</t>
  </si>
  <si>
    <t>ERASMUS+ CABUFAL Izgradnja kapaciteta Pravnog fakulteta Crne Gore u procesu pristupanja EU</t>
  </si>
  <si>
    <t>A679077.024</t>
  </si>
  <si>
    <t>ERASMUS+ CAPUS Očuvanje umjetnosti u javnim prostorima</t>
  </si>
  <si>
    <t>A679077.022</t>
  </si>
  <si>
    <t>ERASMUS+ BESTSDI Izrada kurikula na temu infrastrukture prostornih podataka u zemljama Zapadnog Balkana</t>
  </si>
  <si>
    <t>A679077.019</t>
  </si>
  <si>
    <t>OBZOR 2020 MIROR Europski program združenog doktorata radi integrirane obuke na doktorskoj razini</t>
  </si>
  <si>
    <t>A679077.015</t>
  </si>
  <si>
    <t>COSME COS Europska poduzetnička mreža za potporu i savjet gospodarstvenicima diljem Europe</t>
  </si>
  <si>
    <t>A679077.014</t>
  </si>
  <si>
    <t>INTERREG IPA CBC HR-BA-ME Unaprjeđenje dijagnostičkih i terapijskih usluga medicine spavanja u prekograničnom području južne Hrvatske i zapadne Bosne i Hercegovine</t>
  </si>
  <si>
    <t>A679077.013</t>
  </si>
  <si>
    <t>SOPs4RI Europski kodeks ponašanja za istraživačku čestitost</t>
  </si>
  <si>
    <t>A679077.012</t>
  </si>
  <si>
    <t>VIR2UE Etika utemeljena na istraživačkoj čestitosti</t>
  </si>
  <si>
    <t>A679077.011</t>
  </si>
  <si>
    <t>ENTIRE Mapiranje normativnog okvira za etiku provođenja istraživanja</t>
  </si>
  <si>
    <t>A679077.010</t>
  </si>
  <si>
    <t>ESA Program sportskih aktivnosti za djecu s tipičnim razvojem i potrebama</t>
  </si>
  <si>
    <t>A679077.009</t>
  </si>
  <si>
    <t>SAVE Sport Against Violence and Exclusion - Sportom protiv nasilja i isključenosti</t>
  </si>
  <si>
    <t>A679077.008</t>
  </si>
  <si>
    <t>HYDRIDE4MOBILITY Razvoj komunalnih vozila pomoću MH spremnika vodika i PEM gorivnih ćelija</t>
  </si>
  <si>
    <t>A679077.007</t>
  </si>
  <si>
    <t>GIANTLEAP Nezagađivački promet autobusa s Pem gorivim stanicama</t>
  </si>
  <si>
    <t>A679077.006</t>
  </si>
  <si>
    <t>WIRE 2020 Inovacije ekosustava i razvoj regija Europe</t>
  </si>
  <si>
    <t>A679077.005</t>
  </si>
  <si>
    <t>ERASMUS+ Novi sveučilišni kurikul Cultural Studies in Business</t>
  </si>
  <si>
    <t>A679077.004</t>
  </si>
  <si>
    <t>INTERREG MEDITERAN projekt unaprjeđenja turističkog znanja za oblikovanje i vođenje održivog turizma</t>
  </si>
  <si>
    <t>A679077.003</t>
  </si>
  <si>
    <t>ERASMUS+ Inovativna poslovna suradnja - model inovativnog učenja u području turizma</t>
  </si>
  <si>
    <t>A679077.002</t>
  </si>
  <si>
    <t>BLUTOURSYSTEM projekt unaprjeđenja okvira za održivi rast Plavog turizma</t>
  </si>
  <si>
    <t>A679077.001</t>
  </si>
  <si>
    <t>A679076.027</t>
  </si>
  <si>
    <t>Uncorking rural heritahege - autohtona proizvodnja fermentiranih pića radi lokalne kulturne i ekološke održivosti</t>
  </si>
  <si>
    <t>A679076.025</t>
  </si>
  <si>
    <t>Rekonstrukcija zgrade oružane za centar kompetencija</t>
  </si>
  <si>
    <t>A679076.024</t>
  </si>
  <si>
    <t>Razvoj uređaja sa potopljenim isparivačem</t>
  </si>
  <si>
    <t>A679076.017</t>
  </si>
  <si>
    <t>Measures</t>
  </si>
  <si>
    <t>A679076.014</t>
  </si>
  <si>
    <t>Bespilotne letjelice</t>
  </si>
  <si>
    <t>A679076.012</t>
  </si>
  <si>
    <t>Snaga vještina</t>
  </si>
  <si>
    <t>A679076.011</t>
  </si>
  <si>
    <t>Odčepljivanje ruralnog naslijeđa: autohtona proizvodnja fermentiranih pića za lokalnu kulturnu i okolišnu održivost, 2018-1-0682</t>
  </si>
  <si>
    <t>A679076.008</t>
  </si>
  <si>
    <t>EDUAGRNTERREG V-A HUNGARYI, I</t>
  </si>
  <si>
    <t>A679076.007</t>
  </si>
  <si>
    <t>Milk-ed</t>
  </si>
  <si>
    <t>A679076.006</t>
  </si>
  <si>
    <t>Erasmus+</t>
  </si>
  <si>
    <t>A679076.005</t>
  </si>
  <si>
    <t>LIFE LYNX 16/NAT/SI/000634</t>
  </si>
  <si>
    <t>A679076.004</t>
  </si>
  <si>
    <t>ERASMUS+ KA107</t>
  </si>
  <si>
    <t>A679076.003</t>
  </si>
  <si>
    <t>ERASMUS+ KA103 Mobilnost studenata i osoblja Veleučilišta u Vukovaru</t>
  </si>
  <si>
    <t>A679076.002</t>
  </si>
  <si>
    <t>INTERREG SLO-HR Živi dvorci - projekt očuvanja kulturnog nasljeđa</t>
  </si>
  <si>
    <t>A679076.001</t>
  </si>
  <si>
    <t>KLIK Pula-centar za kompetentno cjeloživotno razvijanje inovativnih znanja i vještina u sektoru ugostiteljstva i turizma</t>
  </si>
  <si>
    <t>A679075.024</t>
  </si>
  <si>
    <t>A679075.023</t>
  </si>
  <si>
    <t>HKO-izvrsnost i učinkovitost na razini visokog obrazovanja</t>
  </si>
  <si>
    <t>A679075.022</t>
  </si>
  <si>
    <t>EU projekt  DA SPACE</t>
  </si>
  <si>
    <t>A679075.021</t>
  </si>
  <si>
    <t>Partnerstvo između znanstvenika I ribara</t>
  </si>
  <si>
    <t>A679075.020</t>
  </si>
  <si>
    <t>HKO FET</t>
  </si>
  <si>
    <t>A679075.019</t>
  </si>
  <si>
    <t>Projekt IN DIV E</t>
  </si>
  <si>
    <t>A679075.018</t>
  </si>
  <si>
    <t>EU projekt - DA SPACE</t>
  </si>
  <si>
    <t>A679075.017</t>
  </si>
  <si>
    <t>A679075.016</t>
  </si>
  <si>
    <t>Projekt "IN DIV EU"</t>
  </si>
  <si>
    <t>A679075.014</t>
  </si>
  <si>
    <t>ERASMUS + KA202 broj: 2019-1-HR01-KA202-061006 - strukovno obrazovanje i osposobljavanje</t>
  </si>
  <si>
    <t>A679075.013</t>
  </si>
  <si>
    <t>ERASMUS + KA107 Broj: 2020-1-HR01-KA107-077587 - Odlazne i dolazne mobilnosti studenata i osoblja Sveučilišta u Puli</t>
  </si>
  <si>
    <t>A679075.012</t>
  </si>
  <si>
    <t>ERASMUS + KA103 Broj: 2020-1-HR01-KA103-077157 - Mobilnost studenata i osoblja Sveučilišta u Puli</t>
  </si>
  <si>
    <t>A679075.011</t>
  </si>
  <si>
    <t>ERASMUS KA2 - DYNAMIC</t>
  </si>
  <si>
    <t>A679075.010</t>
  </si>
  <si>
    <t>ERASMUS+ KA2 - razvoj kapaciteta WILLIAM</t>
  </si>
  <si>
    <t>A679075.009</t>
  </si>
  <si>
    <t>ERASMUS KA107 Odlazne i dolazne mobilnosti studenata i osoblja Sveučilišta u Puli</t>
  </si>
  <si>
    <t>A679075.008</t>
  </si>
  <si>
    <t>ERASMUS KA103 Mobilnost studenata i osoblja Sveučilišta u Puli</t>
  </si>
  <si>
    <t>A679075.007</t>
  </si>
  <si>
    <t>INTERREG ARTHUR projekt praćenja i mjerenja kapaciteta noćenja u turističkim destinacijama radi usmjeravanja na manje opterećena turistička područja</t>
  </si>
  <si>
    <t>A679075.006</t>
  </si>
  <si>
    <t>INTERREG RIVERS projekt poticanja kulturne industrije Italije i Hrvatske kroz praćenje podrijetla krajolika rijeka i njihovih ušća duž jadranske obale</t>
  </si>
  <si>
    <t>A679075.005</t>
  </si>
  <si>
    <t>INTERREG ALTEROUTES projekt krajobraznog upravljanja s ciljem smanjenja pritiska masovnog turizma na dragocjenu povijesnu baštinu</t>
  </si>
  <si>
    <t>A679075.004</t>
  </si>
  <si>
    <t>INTERREG ADRIATIC ATLAS projekt prekogranične suradnje Italije i Hrvatske kroz neiskorišteni potencijal prirodne i kulturne baštine i poticanje pokretanja ICT tvrtki</t>
  </si>
  <si>
    <t>A679075.003</t>
  </si>
  <si>
    <t>INTERREG RE-WIND projekt prekogranične suradnje Italije i Hrvatske kroz neiskorišteni potencijal prirodne i kulturne baštine</t>
  </si>
  <si>
    <t>A679075.002</t>
  </si>
  <si>
    <t>INTERREG DA SPACE projekt interdisciplinarne i međunarodne suradnja povezivanja akademskog, gospodarskog, istraživačkog i javnog sektora</t>
  </si>
  <si>
    <t>A679075.001</t>
  </si>
  <si>
    <t>2CODE Intrr.  CBC Hrvatska -BIH i  - Crna gora</t>
  </si>
  <si>
    <t>A679074.021</t>
  </si>
  <si>
    <t>SHEMA  Proizvodnja hrane u kružnom biog</t>
  </si>
  <si>
    <t>A679074.020</t>
  </si>
  <si>
    <t>TRIPLE  H2020-INFRAEOSC-2018-2020</t>
  </si>
  <si>
    <t>A679074.019</t>
  </si>
  <si>
    <t>VODI ME  Vode Imotske krajine</t>
  </si>
  <si>
    <t>A679074.018</t>
  </si>
  <si>
    <t>Interreg Italija Hrvatska ERDF</t>
  </si>
  <si>
    <t>A679074.017</t>
  </si>
  <si>
    <t>STREAM Interreg Italija Hrvatska</t>
  </si>
  <si>
    <t>A679074.016</t>
  </si>
  <si>
    <t>BUDI SPREMAN I KOMPETENTAN</t>
  </si>
  <si>
    <t>A679074.015</t>
  </si>
  <si>
    <t>OPERAS- P H2020-INFRADEV-2018-2020</t>
  </si>
  <si>
    <t>A679074.014</t>
  </si>
  <si>
    <t>ERASMUS+ KA1- mobilnost u visokom obrazovanju</t>
  </si>
  <si>
    <t>A679074.013</t>
  </si>
  <si>
    <t>SAN -Pametna poljoprivredna mreža</t>
  </si>
  <si>
    <t>A679074.012</t>
  </si>
  <si>
    <t>ERASMUS + EU-CONEXUXS</t>
  </si>
  <si>
    <t>A679074.011</t>
  </si>
  <si>
    <t>ERASMUS + LA GUIDE</t>
  </si>
  <si>
    <t>A679074.010</t>
  </si>
  <si>
    <t>INTERREG AADRIREEF -Inovativno iskorištavanje jadranskih grebena radi jačanja plave ekonomije</t>
  </si>
  <si>
    <t>A679074.009</t>
  </si>
  <si>
    <t>INTERREG GUTTA projekt pilot akcije pronalaska eko-rute s naglaskom na zaštitu okoliša</t>
  </si>
  <si>
    <t>A679074.008</t>
  </si>
  <si>
    <t>INTERREG REPLICATE projekt revitalizacije zabačenih područja i izgubljene baštine</t>
  </si>
  <si>
    <t>A679074.007</t>
  </si>
  <si>
    <t>INTERREG DISCOVER projekt pozicioniranja slabije poznatih mjesta Italije i  Hrvatske na turističku kartu ponude</t>
  </si>
  <si>
    <t>A679074.006</t>
  </si>
  <si>
    <t>MADE IN-LAND projekt očuvanja prirodnih i kulturnih resursa u unutrašnjosti Italije i Hrvatske</t>
  </si>
  <si>
    <t>A679074.005</t>
  </si>
  <si>
    <t>Zadar Baštini projekt stvaranja kulturno-turističkog proizvoda grada Zadra s ciljem povećanja turističke posjećenosti</t>
  </si>
  <si>
    <t>A679074.004</t>
  </si>
  <si>
    <t>INTERREG APPRODI projekt izrade strateškog plana za poticanje ekoturizma kroz istraživanja o povijesnim utjecajima pomorskog prometa</t>
  </si>
  <si>
    <t>A679074.003</t>
  </si>
  <si>
    <t>INTERREG STRONGER projekt osnivanja prekograničnog klastera i e-platforme iz područja prerađivačke industrije ljekovitog i začinskog bilja</t>
  </si>
  <si>
    <t>A679074.002</t>
  </si>
  <si>
    <t>INTERREG MELAdetect projekt prekogranične suradnje u liječenju različitih vrsta melanoma</t>
  </si>
  <si>
    <t>A679074.001</t>
  </si>
  <si>
    <t>ESMERALD - Pojačavanje otpornosti malih i srednjih poduzeća nakon zaključavanja</t>
  </si>
  <si>
    <t>A679073.025</t>
  </si>
  <si>
    <t>VIBES -Osnaživanje virtualnih poslovnih vještina</t>
  </si>
  <si>
    <t>A679073.024</t>
  </si>
  <si>
    <t>ESSENCE - usavršavanje vještina za njegovanje konkurentnosti i zapošljavanja</t>
  </si>
  <si>
    <t>A679073.023</t>
  </si>
  <si>
    <t>Izvrsnost i učinkovitost u visokom obrazovanju u polju ekonomije E4</t>
  </si>
  <si>
    <t>A679073.018</t>
  </si>
  <si>
    <t>DATACROSS- napredne metode i tehnologije u znanosti o podatcima i kooperativnim sustavima</t>
  </si>
  <si>
    <t>A679073.016</t>
  </si>
  <si>
    <t>Innovamare: Razvoj inovativnih tehnologija za održivost Jadranskog mora</t>
  </si>
  <si>
    <t>A679073.015</t>
  </si>
  <si>
    <t>Cisto more, pretraživanje, identifikacija i prikupljanje morskog otpada s bespilotnim podvodnim i površinskim plovilima</t>
  </si>
  <si>
    <t>A679073.014</t>
  </si>
  <si>
    <t>MARLESS -prekogranične mjere podizanja svijesti o morskom otpadu</t>
  </si>
  <si>
    <t>A679073.013</t>
  </si>
  <si>
    <t>Start-up Nacija: Hrvatska Tematska mreža za razvoj poduzetništva i samozapošljavanja</t>
  </si>
  <si>
    <t>A679073.012</t>
  </si>
  <si>
    <t>DigIT - izrada standarda zanimanja i standarda kvalifikacija u djelatnostima računarstva</t>
  </si>
  <si>
    <t>A679073.011</t>
  </si>
  <si>
    <t>FishAqu - Poboljšanje znanja u održivom upravljanju ribarstvom i akvakulturi u mediteranskoj regiji</t>
  </si>
  <si>
    <t>A679073.010</t>
  </si>
  <si>
    <t>Razvoj sustava kontrole i obrane luka od unosa stranih vrsta ( ProtectAS)</t>
  </si>
  <si>
    <t>A679073.009</t>
  </si>
  <si>
    <t>Digitalno poduzetničko obrazovanje kroz virtualni trening</t>
  </si>
  <si>
    <t>A679073.006</t>
  </si>
  <si>
    <t>ELEGANT - poboljšanje podučavanja, učenja i mogućnosti diplomiranja</t>
  </si>
  <si>
    <t>A679073.005</t>
  </si>
  <si>
    <t>ERASMUS+ mobilnost studenata između programskih i partnerskih zemalja</t>
  </si>
  <si>
    <t>A679073.004</t>
  </si>
  <si>
    <t>ERASMUS+ mobilnost studenata i osoblja unutar programskih zemalja</t>
  </si>
  <si>
    <t>A679073.003</t>
  </si>
  <si>
    <t>ERASMUS+ Mobilnost studenata i osoblja unutar programskih zemalja-KA103</t>
  </si>
  <si>
    <t>A679073.002</t>
  </si>
  <si>
    <t>ERASMUS+projekt organizacije studijskog boravka, stručnog osposobljavanja i mobilnosti studenata i zaposlenika Sveučilišta u Dubrovniku</t>
  </si>
  <si>
    <t>A679073.001</t>
  </si>
  <si>
    <t>IRI-2 Adria Smart Room</t>
  </si>
  <si>
    <t>A679072.154</t>
  </si>
  <si>
    <t>ERASMUS + Sustrainable - Obuka za održivost</t>
  </si>
  <si>
    <t>A679072.152</t>
  </si>
  <si>
    <t>Projekt STEM(AJMO!)</t>
  </si>
  <si>
    <t>A679072.151</t>
  </si>
  <si>
    <t>EnLeMaH - Erazmus +</t>
  </si>
  <si>
    <t>A679072.150</t>
  </si>
  <si>
    <t>Flumen</t>
  </si>
  <si>
    <t>A679072.149</t>
  </si>
  <si>
    <t>APOLD - Akademsko politehničko društvo</t>
  </si>
  <si>
    <t>A679072.148</t>
  </si>
  <si>
    <t>Inno4YUFE</t>
  </si>
  <si>
    <t>A679072.147</t>
  </si>
  <si>
    <t>Erazmus 2021 - HR01-KA131-HED-000003063</t>
  </si>
  <si>
    <t>A679072.146</t>
  </si>
  <si>
    <t>Erazmus +  HiPowerEd</t>
  </si>
  <si>
    <t>A679072.145</t>
  </si>
  <si>
    <t>EMPLOYS - razumijevanje, vrednovanje i poboljšanje dobrog upravljanja u radnim odnosima sportaša u olimpijskim sportovima u Europi</t>
  </si>
  <si>
    <t>A679072.144</t>
  </si>
  <si>
    <t>E-obuka o primjeni obiteljskog zakona EU-a za prekogranične parove kroz tečajeve e-učenja</t>
  </si>
  <si>
    <t>A679072.143</t>
  </si>
  <si>
    <t>Reprogramiranje IEL -a na crijevnoj epitelnoj barijeri tijekom infekcije virusom</t>
  </si>
  <si>
    <t>A679072.142</t>
  </si>
  <si>
    <t>Biologija citomegalovirusne infekcije u mozgu tijekom razvoja i u latenciji</t>
  </si>
  <si>
    <t>A679072.141</t>
  </si>
  <si>
    <t>A679072.140</t>
  </si>
  <si>
    <t>ZACJEL</t>
  </si>
  <si>
    <t>A679072.139</t>
  </si>
  <si>
    <t>Predgotovljene zgrade gotovo nulte energije proizvedene na industrijski način</t>
  </si>
  <si>
    <t>A679072.138</t>
  </si>
  <si>
    <t>INCOMPEDU - INOVATIVNO NATJECANJE U ONLINE VISOKOM OBRAZOVANJU</t>
  </si>
  <si>
    <t>A679072.137</t>
  </si>
  <si>
    <t>ON IT - mrežno pravo u turizmu</t>
  </si>
  <si>
    <t>A679072.136</t>
  </si>
  <si>
    <t>e-škole:  Razvoj sustava digitalno zrelih škola</t>
  </si>
  <si>
    <t>A679072.135</t>
  </si>
  <si>
    <t>Zdravstveni opservatorij</t>
  </si>
  <si>
    <t>A679072.134</t>
  </si>
  <si>
    <t>Erazmus 2020/21 - HR01-KA103-077087</t>
  </si>
  <si>
    <t>A679072.133</t>
  </si>
  <si>
    <t>Erazmus 2019/20 - HR01-KA103-060229</t>
  </si>
  <si>
    <t>A679072.132</t>
  </si>
  <si>
    <t>Erazmus 2020 - HR01-KA107-077121</t>
  </si>
  <si>
    <t>A679072.131</t>
  </si>
  <si>
    <t>Erazmus partnerske zemlje 2018/2020 - HR01-KA107-046921</t>
  </si>
  <si>
    <t>A679072.130</t>
  </si>
  <si>
    <t>Erazmus partnerske zemlje 2019/2021 - HR01-KA107-060242</t>
  </si>
  <si>
    <t>A679072.129</t>
  </si>
  <si>
    <t>INTERREG ADRION EUREKA</t>
  </si>
  <si>
    <t>A679072.128</t>
  </si>
  <si>
    <t>ERASMUS + E-laboratory for digital education (LaDiEd)</t>
  </si>
  <si>
    <t>A679072.127</t>
  </si>
  <si>
    <t>ERASMUS +  Inclusion through CrowdFunding”("InCrowd”)</t>
  </si>
  <si>
    <t>A679072.126</t>
  </si>
  <si>
    <t>Erasmus +Transnational Alignment of English Competences for University Lectures” (TAEC)</t>
  </si>
  <si>
    <t>A679072.125</t>
  </si>
  <si>
    <t>Arts and Humanities Entrpreneurship Hubs</t>
  </si>
  <si>
    <t>A679072.124</t>
  </si>
  <si>
    <t>EuroCC</t>
  </si>
  <si>
    <t>A679072.123</t>
  </si>
  <si>
    <t>IRI-2 Razvoj ekoloških proizvodnih procesa i novih proizvoda visoke kvalitete aktivnostima istraživanja i razvoja (korisnik Feroplast d.o.o.Buje)</t>
  </si>
  <si>
    <t>A679072.122</t>
  </si>
  <si>
    <t>IRI-2 ABsistemDCiCloud (korisnik AlarmAutomatika d.o.o.Rijeka)</t>
  </si>
  <si>
    <t>A679072.121</t>
  </si>
  <si>
    <t>Jean Monnet - centar izvrsnosti</t>
  </si>
  <si>
    <t>A679072.120</t>
  </si>
  <si>
    <t>MORZ - Mreže Organizacije Ribara i Znanstvenika</t>
  </si>
  <si>
    <t>A679072.119</t>
  </si>
  <si>
    <t>RIVIERA 4SEASONS</t>
  </si>
  <si>
    <t>A679072.116</t>
  </si>
  <si>
    <t>OPK Konkurentnost i kohezija ProtectAS</t>
  </si>
  <si>
    <t>A679072.115</t>
  </si>
  <si>
    <t>eTMS IRI projekt</t>
  </si>
  <si>
    <t>A679072.114</t>
  </si>
  <si>
    <t>E-confidence</t>
  </si>
  <si>
    <t>A679072.111</t>
  </si>
  <si>
    <t>AThEME</t>
  </si>
  <si>
    <t>A679072.110</t>
  </si>
  <si>
    <t>Taec</t>
  </si>
  <si>
    <t>A679072.108</t>
  </si>
  <si>
    <t>SLIHE</t>
  </si>
  <si>
    <t>A679072.107</t>
  </si>
  <si>
    <t>MEHR- Modernity, Education and Human Rights</t>
  </si>
  <si>
    <t>A679072.105</t>
  </si>
  <si>
    <t>Sustainable service - FFRI</t>
  </si>
  <si>
    <t>A679072.104</t>
  </si>
  <si>
    <t>In Math</t>
  </si>
  <si>
    <t>A679072.101</t>
  </si>
  <si>
    <t>ORG BIO</t>
  </si>
  <si>
    <t>A679072.100</t>
  </si>
  <si>
    <t>ALGOLITTLE</t>
  </si>
  <si>
    <t>A679072.097</t>
  </si>
  <si>
    <t>THEY LIVE Student lives revealed through context-based art practices</t>
  </si>
  <si>
    <t>A679072.096</t>
  </si>
  <si>
    <t>CEKOM Smart City.4DII</t>
  </si>
  <si>
    <t>A679072.095</t>
  </si>
  <si>
    <t>INTERREG InnovaMare projekt</t>
  </si>
  <si>
    <t>A679072.094</t>
  </si>
  <si>
    <t>Measuring the Social Dimension of Culture (MESOC)</t>
  </si>
  <si>
    <t>A679072.092</t>
  </si>
  <si>
    <t>YUFERING - YUFE Transforming Research and Innovation through Europe-wide Knowledge Transfer</t>
  </si>
  <si>
    <t>A679072.091</t>
  </si>
  <si>
    <t>DIOSI - Developing and implementing hands-on training on Open Science and Open Innovation for Early Career Researchers</t>
  </si>
  <si>
    <t>A679072.090</t>
  </si>
  <si>
    <t>YUFE (The Young Universities for the Future of Europe)</t>
  </si>
  <si>
    <t>A679072.089</t>
  </si>
  <si>
    <t>MindBot</t>
  </si>
  <si>
    <t>A679072.087</t>
  </si>
  <si>
    <t>Infant Theory of Mind-H2020-MSCA-IF-2017</t>
  </si>
  <si>
    <t>A679072.086</t>
  </si>
  <si>
    <t>INTERREG FRAMEWORK</t>
  </si>
  <si>
    <t>A679072.085</t>
  </si>
  <si>
    <t>INTERREG MIMOSA</t>
  </si>
  <si>
    <t>A679072.084</t>
  </si>
  <si>
    <t>INTERREG  PSAMIDES</t>
  </si>
  <si>
    <t>A679072.082</t>
  </si>
  <si>
    <t>ERASMUS+ COMPETING</t>
  </si>
  <si>
    <t>A679072.081</t>
  </si>
  <si>
    <t>Rino sprej</t>
  </si>
  <si>
    <t>A679072.080</t>
  </si>
  <si>
    <t>Razvoj inovativnog brzog testa za dijagnozu subkliničkog mastitisa u mliječnih krava</t>
  </si>
  <si>
    <t>A679072.079</t>
  </si>
  <si>
    <t>Menage a trois: Neuro-endocrino-immune regulation of metabolic homeostasis</t>
  </si>
  <si>
    <t>A679072.078</t>
  </si>
  <si>
    <t>HKO na razini visokog obrazovanja</t>
  </si>
  <si>
    <t>A679072.077</t>
  </si>
  <si>
    <t>Train to enforce — Train 2 EN4CE’</t>
  </si>
  <si>
    <t>A679072.076</t>
  </si>
  <si>
    <t>ERASMUS+ CAMPMASTER, SVEUČILIŠTE U RIJECI</t>
  </si>
  <si>
    <t>A679072.075</t>
  </si>
  <si>
    <t>RECEZA-REGIONALNI CENTAR ZABOK</t>
  </si>
  <si>
    <t>A679072.074</t>
  </si>
  <si>
    <t>RCK PECEPT - REG. CENTAR PROFESIJA U TURIZMU</t>
  </si>
  <si>
    <t>A679072.073</t>
  </si>
  <si>
    <t>MI – jučer, danas, sutra</t>
  </si>
  <si>
    <t>A679072.072</t>
  </si>
  <si>
    <t>Social and Creative - EFRI</t>
  </si>
  <si>
    <t>A679072.071</t>
  </si>
  <si>
    <t>Provedba HKO-a na razini visokog obrazovanja - EFRI</t>
  </si>
  <si>
    <t>A679072.070</t>
  </si>
  <si>
    <t>Capacity Building of BLUE Economy Stakeholders to Effectively use CROWFUNDING</t>
  </si>
  <si>
    <t>A679072.069</t>
  </si>
  <si>
    <t>KLIMOD</t>
  </si>
  <si>
    <t>A679072.068</t>
  </si>
  <si>
    <t>DATACROSS – Napredne metode i tehnologije u znanosti o podatcima i kooperativnim sustavima</t>
  </si>
  <si>
    <t>A679072.067</t>
  </si>
  <si>
    <t>Industrijska baština</t>
  </si>
  <si>
    <t>A679072.065</t>
  </si>
  <si>
    <t>CEKOM Podrška razvoju centara kompetencija</t>
  </si>
  <si>
    <t>A679072.063</t>
  </si>
  <si>
    <t>ERASMUS + 2019. Mobilnost studenata i osoblja između programskih i partnerskih zemalja (KA107)</t>
  </si>
  <si>
    <t>A679072.062</t>
  </si>
  <si>
    <t>Turistička valorizacija reprezentativnih spomenika riječke industrijske baštine</t>
  </si>
  <si>
    <t>A679072.061</t>
  </si>
  <si>
    <t>SEEYW - Podržavanje obrazovanja mladih radnika</t>
  </si>
  <si>
    <t>A679072.060</t>
  </si>
  <si>
    <t>Bioprospecting Jadranskog mora</t>
  </si>
  <si>
    <t>A679072.059</t>
  </si>
  <si>
    <t>Veleri- OI IoT School: Razvoj racionalnog obrazovnog programa</t>
  </si>
  <si>
    <t>A679072.058</t>
  </si>
  <si>
    <t>DIP2Future: Razvoj obrazovnih programa, standarda kvalifikacije i standarda zanimanja iz područja IKT-a u skladu s HKO-om</t>
  </si>
  <si>
    <t>A679072.057</t>
  </si>
  <si>
    <t>GLAT-Igre za učenje algoritamskog mišljenja</t>
  </si>
  <si>
    <t>A679072.056</t>
  </si>
  <si>
    <t>PROLOG   (HOK projekt)</t>
  </si>
  <si>
    <t>A679072.055</t>
  </si>
  <si>
    <t>Rješavanje m04 paradoksa: Izbjegavanje samo-prepoznavanja koji nedostaje i ubijanje CD8 T stanica MAT uORF</t>
  </si>
  <si>
    <t>A679072.054</t>
  </si>
  <si>
    <t>Novi koncepti vektora citomegaloviralnog cjepiva</t>
  </si>
  <si>
    <t>A679072.053</t>
  </si>
  <si>
    <t>HKO-ELE Primjena Hrvatskog kvalifikacijskog okvira za sveučilišne studijske programe u području elektrotehnike</t>
  </si>
  <si>
    <t>A679072.052</t>
  </si>
  <si>
    <t>HKO-Dig IT - Izrada standarda zanimanja i standarda kvalifikacija u djelatnostima računarstva</t>
  </si>
  <si>
    <t>A679072.051</t>
  </si>
  <si>
    <t>ERASMUS + Digitalna društvena inovacija: nove obrazovne kompetencije za socijalnu uključenost</t>
  </si>
  <si>
    <t>A679072.050</t>
  </si>
  <si>
    <t>Otplata glavnice primljenih zajmova od županijskih proračuna</t>
  </si>
  <si>
    <t>PROMEHS</t>
  </si>
  <si>
    <t>A679072.049</t>
  </si>
  <si>
    <t>Otplata glavnice primljenih zajmova od tuzemnih trgovačkih društava izvan javnog sektora</t>
  </si>
  <si>
    <t>SPEAR - Podržavanje i implantacija planova za rodnu ravnopravnost u istraživanju</t>
  </si>
  <si>
    <t>A679072.046</t>
  </si>
  <si>
    <t>Otplata glavnice primljenih zajmova od ostalih tuzemnih financijskih institucija izvan javnog sektora</t>
  </si>
  <si>
    <t>INTERREG Sigurno sidrenje i zaštita morske trave u Jadranskom moru-SASPAS</t>
  </si>
  <si>
    <t>A679072.045</t>
  </si>
  <si>
    <t>Otplata glavnice primljenih kredita od tuzemnih kreditnih institucija izvan javnog sektora</t>
  </si>
  <si>
    <t>ERASMUS +LANGUIDE</t>
  </si>
  <si>
    <t>A679072.044</t>
  </si>
  <si>
    <t>Otplata glavnice primljenih zajmova od trgovačkih društava u javnom sektoru</t>
  </si>
  <si>
    <t>ERASMUS + Coding4girls</t>
  </si>
  <si>
    <t>A679072.043</t>
  </si>
  <si>
    <t>Otplata glavnice primljenih kredita od kreditnih institucija u javnom sektoru</t>
  </si>
  <si>
    <t>Umjetnička i humanistička poduzetnička središta</t>
  </si>
  <si>
    <t>A679072.042</t>
  </si>
  <si>
    <t xml:space="preserve">Izdaci za jamčevne pologe </t>
  </si>
  <si>
    <t>ERASMUS+ SKILLSEA</t>
  </si>
  <si>
    <t>A679072.041</t>
  </si>
  <si>
    <t>Izdaci za depozite u kreditnim i ostalim financijskim institucijama - tuzemni</t>
  </si>
  <si>
    <t>VALUECARE - METODOLOGIJA NA VRIJEDNOSTI ZA INTEGRIRANU NjEGU PODRUČENA IcT-om</t>
  </si>
  <si>
    <t>A679072.040</t>
  </si>
  <si>
    <t>Dani zajmovi trgovačkim društvima u javnom sektoru</t>
  </si>
  <si>
    <t>HERA - Zdravstvo kao javni prostor: Socijalna integracija i socijalna raznolikost u kontekstu pristupa zdravstvenoj skrbi u Europi</t>
  </si>
  <si>
    <t>A679072.039</t>
  </si>
  <si>
    <t>Dani zajmovi neprofitnim organizacijama, građanima i kućanstvima u inozemstvu</t>
  </si>
  <si>
    <t>Povećavanje i proširenje odgovora T-stanica na glioblastoma</t>
  </si>
  <si>
    <t>A679072.037</t>
  </si>
  <si>
    <t>Dani zajmovi neprofitnim organizacijama, građanima i kućanstvima u tuzemstvu</t>
  </si>
  <si>
    <t>Modernizacija master programa</t>
  </si>
  <si>
    <t>A679072.035</t>
  </si>
  <si>
    <t>Otplata glavnice primljenih kredita od tuzemnih kreditnih in</t>
  </si>
  <si>
    <t>INTERREG ITA-HR ADRIAAQUANET,Sv. Udine</t>
  </si>
  <si>
    <t>A679072.032</t>
  </si>
  <si>
    <t>Dani zajmovi neprofitnim organizacijama, građanima i kućanst</t>
  </si>
  <si>
    <t>INTERREG SLO-HR MITSKI PARK, FMTU-Kozina</t>
  </si>
  <si>
    <t>A679072.031</t>
  </si>
  <si>
    <t>Dodatna ulaganja za ostalu nefinancijsku imovinu</t>
  </si>
  <si>
    <t>ManuFacturing model upravljanja i osposobljavanja za industriju 4.0 u Jadransko-jonskoj regiji</t>
  </si>
  <si>
    <t>A679072.029</t>
  </si>
  <si>
    <t>Dodatna ulaganja na prijevoznim sredstvima</t>
  </si>
  <si>
    <t>Transformativni turizam u europskoj prijestolnici kulture</t>
  </si>
  <si>
    <t>A679072.028</t>
  </si>
  <si>
    <t>Dodatna ulaganja na postrojenjima i opremi</t>
  </si>
  <si>
    <t>H2020 Financijski nadzor i tehnološka usklađenost</t>
  </si>
  <si>
    <t>A679072.027</t>
  </si>
  <si>
    <t>ERASMUS + SWARM PROJEKT</t>
  </si>
  <si>
    <t>A679072.026</t>
  </si>
  <si>
    <t>Strateške zalihe</t>
  </si>
  <si>
    <t>A679072.025</t>
  </si>
  <si>
    <t>Pohranjene knjige, umjetnička djela i slične vrijednosti</t>
  </si>
  <si>
    <t>ERASMUS+ Projekt Interaktivni tečaj za teoriju kontrole (ICCT) 2018-1-SI01-KA203-047081</t>
  </si>
  <si>
    <t>A679072.024</t>
  </si>
  <si>
    <t>Ostala nematerijalna proizvedena imovina</t>
  </si>
  <si>
    <t>INTERREG ADRIREEF Istraživanje potencijala grebena u Jadranskom moru s ciljem jačanja Plave ekonomije</t>
  </si>
  <si>
    <t>A679072.023</t>
  </si>
  <si>
    <t>Umjetnička, literarna i znanstvena djela</t>
  </si>
  <si>
    <t>ERASMUS+ TEFCE Prema europskom okviru za angažiranje visokog obrazovanja u zajednici</t>
  </si>
  <si>
    <t>A679072.021</t>
  </si>
  <si>
    <t>Ulaganja u računalne programe</t>
  </si>
  <si>
    <t>Wom@rts projekt promicanja razvoja svijesti o ravnopravnosti spolova kroz transnacionalnu mrežu i platformu</t>
  </si>
  <si>
    <t>A679072.018</t>
  </si>
  <si>
    <t>Osnovno stado</t>
  </si>
  <si>
    <t>H2020 PIXEL Učinkovito korištenje resursa, održivi razvoj i zeleni rast luka i okolnih gradova</t>
  </si>
  <si>
    <t>A679072.017</t>
  </si>
  <si>
    <t>Višegodišnji nasadi</t>
  </si>
  <si>
    <t>ERASMUS+ projekt jačanja kapaciteta za izučavanje medicine boli u zemljama zapadnog Balkana</t>
  </si>
  <si>
    <t>A679072.015</t>
  </si>
  <si>
    <t>Projekt Europskog društva za izučavanje traumatskog stresa</t>
  </si>
  <si>
    <t>A679072.014</t>
  </si>
  <si>
    <t>Umjetnička djela (izložena u galerijama, muzejima i slično)</t>
  </si>
  <si>
    <t>ERASMUS+ LOGIN projekt pripreme stvaranja sustava kvalifikacija i programa za izobrazbu kadrova u logistici</t>
  </si>
  <si>
    <t>A679072.011</t>
  </si>
  <si>
    <t>INTERREG PROMARES projekt unaprjeđenja suradnje u logistici pomorskog i multimodalnog teretnog prometa za sve luke</t>
  </si>
  <si>
    <t>A679072.010</t>
  </si>
  <si>
    <t>Prijevozna sredstva u pomorskom i riječnom prometu</t>
  </si>
  <si>
    <t>INTERREG E-CHAIN projekt izrade modularnog softvera  za poboljšanje povezanosti i uskladu podataka Jadranske Intermodalne Mreže</t>
  </si>
  <si>
    <t>A679072.009</t>
  </si>
  <si>
    <t>INTERREG DEEPSEA projekt razvoja sustava upravljanja i inovativnih usluga za nautičare u lukama temeljenih na obnovljivim izvorima energije</t>
  </si>
  <si>
    <t>A679072.008</t>
  </si>
  <si>
    <t>ERASMUS+ SKILLS projekt definiranja modula zanimanja na tržištu rada na kopnu po završetku karijere na brodovima</t>
  </si>
  <si>
    <t>A679072.007</t>
  </si>
  <si>
    <t>ERASMUS+ SKILLS ON BORD projekt edukacije voditelja brodica i zapovjednika jahti</t>
  </si>
  <si>
    <t>A679072.006</t>
  </si>
  <si>
    <t>ERASMUS+ACTS+ on line projekt izrade platforme za učenje COLREGS-a u pomorstvu</t>
  </si>
  <si>
    <t>A679072.005</t>
  </si>
  <si>
    <t>INTERREG ECOSUSTAIN projekt unaprjeđenja upravljanja zaštićenim područjima uvođenjem novih ICT tehnologija</t>
  </si>
  <si>
    <t>A679072.004</t>
  </si>
  <si>
    <t>ERASMUS+ projekt ujednačavanja standarda kvalifikacija za zvanja u unutarnjoj plovidbi na razini EU</t>
  </si>
  <si>
    <t>A679072.003</t>
  </si>
  <si>
    <t>INTERREG DIGILOGOS projekt digitalizacije logistike multimodalnog teretnog i putničkog transporta Italije i Hrvatske</t>
  </si>
  <si>
    <t>A679072.002</t>
  </si>
  <si>
    <t>ERASMUS+ projekt razvoja prometnih modaliteta kod trajekata i putničkih brodova</t>
  </si>
  <si>
    <t>A679072.001</t>
  </si>
  <si>
    <t>Ostali građevinski objekti</t>
  </si>
  <si>
    <t>A679071.066</t>
  </si>
  <si>
    <t>Ceste, željeznice i ostali prometni objekti</t>
  </si>
  <si>
    <t>Prilagodba mjera kontrole populacije komaraca zbog klimatskih promjena u RH</t>
  </si>
  <si>
    <t>A679071.065</t>
  </si>
  <si>
    <t>RCK VirtuOS-regionalni centri kompetentnosti (RCK) u sektoru turizma i ugostiteljstva</t>
  </si>
  <si>
    <t>A679071.064</t>
  </si>
  <si>
    <t>Stambeni objekti</t>
  </si>
  <si>
    <t>Erasmus+DECriS European Summer School on Information Science 2021</t>
  </si>
  <si>
    <t>A679071.063</t>
  </si>
  <si>
    <t>Ostala nematerijalna imovina</t>
  </si>
  <si>
    <t>EUROCC - konzorcijski sporazum o suradnji (EuroHPC) na projektu stvaranja nacionalnih centara kompetencije</t>
  </si>
  <si>
    <t>A679071.062</t>
  </si>
  <si>
    <t>Ostala prava</t>
  </si>
  <si>
    <t>DATACROSS–Napredne metode i tehnologije u znanosti o podacima i kooperativnim sustavima</t>
  </si>
  <si>
    <t>A679071.061</t>
  </si>
  <si>
    <t>HRZZ PROJEKT -DOKTORANDI BIOTEHNIČKIH ZNANOSTI</t>
  </si>
  <si>
    <t>A679071.060</t>
  </si>
  <si>
    <t>Koncesije</t>
  </si>
  <si>
    <t>VirtuOS-uspostava regionalnog centra kompetentnosti u sektoru turizma i ugostiteljstva</t>
  </si>
  <si>
    <t>A679071.059</t>
  </si>
  <si>
    <t>Ostala prirodna materijalna imovina</t>
  </si>
  <si>
    <t>CSI: CustomDigiTeach-društveni utjecaj prilagođenim formatima poučavanja</t>
  </si>
  <si>
    <t>A679071.058</t>
  </si>
  <si>
    <t>Zemljište</t>
  </si>
  <si>
    <t>'Erasmus + 'Time to Become Digital in Law - DIGinLAW</t>
  </si>
  <si>
    <t>A679071.056</t>
  </si>
  <si>
    <t>Kapitalne pomoći poljoprivrednicima i obrtnicima</t>
  </si>
  <si>
    <t>Istraživanje i razvoj samoizbijajućeg betona za 3D printer s dodatkom pepela</t>
  </si>
  <si>
    <t>A679071.055</t>
  </si>
  <si>
    <t>Kapitalne pomoći kreditnim i ostalim financijskim institucijama te trgovačkim društvima i zadrugama izvan javnog sektora</t>
  </si>
  <si>
    <t>CroViZone  - Prilagodba vinogradarskih zona RH klimatskim promjenama Operativni program Konkurentnost i kohezija</t>
  </si>
  <si>
    <t>A679071.054</t>
  </si>
  <si>
    <t>Kapitalne pomoći kreditnim i ostalim financijskim institucijama te trgovačkim društvima u javnom sektoru</t>
  </si>
  <si>
    <t>VIRTUALS - VIRTUAL VISITING PROFESSORS ERASMUS +</t>
  </si>
  <si>
    <t>A679071.053</t>
  </si>
  <si>
    <t>Ostale kazne</t>
  </si>
  <si>
    <t>Modern logistics learning: Certified module on master study level</t>
  </si>
  <si>
    <t>A679071.052</t>
  </si>
  <si>
    <t>Ugovorene kazne i ostale naknade šteta</t>
  </si>
  <si>
    <t>CUVid – Curriculum Video Erasmus +</t>
  </si>
  <si>
    <t>A679071.051</t>
  </si>
  <si>
    <t>Naknade šteta zaposlenicima</t>
  </si>
  <si>
    <t>HRZZ Vlakna i proteini kao osnova za razvoj novih bioaktivnih dodataka hrani (ESF)</t>
  </si>
  <si>
    <t>A679071.050</t>
  </si>
  <si>
    <t>Penali, ležarine i drugo</t>
  </si>
  <si>
    <t>Digital Education for Crisis Situations: Times when there is no alternative (DECriS)</t>
  </si>
  <si>
    <t>A679071.049</t>
  </si>
  <si>
    <t>Naknade šteta pravnim i fizičkim osobama</t>
  </si>
  <si>
    <t>Treasure- OBZOR 2020 (Obzor 2020- horizon projket TreasureDiversity of local pig breeds and production systems for high quality traditional products and sustainable pork chains"Ugovaratelj Kmetijski institut Slovenije)</t>
  </si>
  <si>
    <t>A679071.048</t>
  </si>
  <si>
    <t>Kapitalne donacije neprofitnim organizacijama</t>
  </si>
  <si>
    <t>Kompetencijski standardi nastavnika, pedagoga i mentora</t>
  </si>
  <si>
    <t>A679071.045</t>
  </si>
  <si>
    <t>Tekuće donacije iz EU sredstava</t>
  </si>
  <si>
    <t>Mobility and Inclusion in Multilingual Europe</t>
  </si>
  <si>
    <t>A679071.044</t>
  </si>
  <si>
    <t>Helping Kids! Promoting Positive Intergroup Relations and Peacebuilding in Divided Societies</t>
  </si>
  <si>
    <t>A679071.043</t>
  </si>
  <si>
    <t>A679071.039</t>
  </si>
  <si>
    <t>Istraživanje i razvoj inovativne funkcionalne hrane za pčele radi povećanja efikasnosti globalne pčelarske proizvodnje.</t>
  </si>
  <si>
    <t>A679071.038</t>
  </si>
  <si>
    <t>Naknade građanima i kućanstvima u naravi</t>
  </si>
  <si>
    <t>EU Contemporary Puppetry Critical Platform</t>
  </si>
  <si>
    <t>A679071.037</t>
  </si>
  <si>
    <t>ERASMUS+GAMe based learning in MAthematics</t>
  </si>
  <si>
    <t>A679071.036</t>
  </si>
  <si>
    <t>Naknade građanima i kućanstvima na temelju osiguranja iz EU</t>
  </si>
  <si>
    <t>ICT u poljoprivrednim znanostima</t>
  </si>
  <si>
    <t>A679071.035</t>
  </si>
  <si>
    <t>Naknade građanima i kućanstvima u naravi - putem ustanova u</t>
  </si>
  <si>
    <t>Jean Monnet Module  Language and EU Law Excellence</t>
  </si>
  <si>
    <t>A679071.034</t>
  </si>
  <si>
    <t>Naknade građanima i kućanstvima u novcu - putem ustanova u j</t>
  </si>
  <si>
    <t>A679071.033</t>
  </si>
  <si>
    <t>Naknade građ. i kuć. u naravi-neposr. ili putem ust.izvan js</t>
  </si>
  <si>
    <t>TRAIN -CE-FOOD</t>
  </si>
  <si>
    <t>A679071.031</t>
  </si>
  <si>
    <t>Naknade građ. i kuć. u novcu-neposr. ili putem ust.izvan js</t>
  </si>
  <si>
    <t>ERASMUS K2 - FAKULTET AGROBIOTEHNIČKIH ZNANOSTI OSIJEK</t>
  </si>
  <si>
    <t>A679071.030</t>
  </si>
  <si>
    <t>Kapitalni prijenosi između proračunskih korisnika istog pror</t>
  </si>
  <si>
    <t>AGROEKOTEH HAPIH</t>
  </si>
  <si>
    <t>A679071.029</t>
  </si>
  <si>
    <t>Tekući prijenosi između proračunskih korisnika istog proraču</t>
  </si>
  <si>
    <t>BIO4FEED PARTNER</t>
  </si>
  <si>
    <t>A679071.028</t>
  </si>
  <si>
    <t>APPLERESIST</t>
  </si>
  <si>
    <t>A679071.027</t>
  </si>
  <si>
    <t>IPA INTERREG CBC ESTABLISHING DEVELOPMENT OF SUSTAINABLE CROSS BORDER CLUSTERS</t>
  </si>
  <si>
    <t>A679071.026</t>
  </si>
  <si>
    <t>Kapitalne pomoći temeljem prijenosa EU sredstava</t>
  </si>
  <si>
    <t>IRI PROJEKT - AGROSIMPA</t>
  </si>
  <si>
    <t>A679071.025</t>
  </si>
  <si>
    <t>Projekt razvoja karijere mladih istraživača - izobrazba novih doktora znanosti</t>
  </si>
  <si>
    <t>A679071.024</t>
  </si>
  <si>
    <t>Kapitalne pomoći proračunskim korisnicima drugih proračuna</t>
  </si>
  <si>
    <t>Unaprjeđenje kvalitete studiranja na pravnim fakultetima u Hrvatskoj</t>
  </si>
  <si>
    <t>A679071.023</t>
  </si>
  <si>
    <t>Tekuće pomoći proračunskim korisnicima drugih proračuna</t>
  </si>
  <si>
    <t>Izvrsnost i učinkovitost u visokom obrazovanju u polju ekonomije (E4)</t>
  </si>
  <si>
    <t>A679071.022</t>
  </si>
  <si>
    <t>Kapitalne pomoći unutar općeg proračuna</t>
  </si>
  <si>
    <t>A679071.021</t>
  </si>
  <si>
    <t>Tekuće pomoći unutar općeg proračuna</t>
  </si>
  <si>
    <t>A679071.019</t>
  </si>
  <si>
    <t>Tekuće pomoći međunarodnim organizacijama te institucijama i</t>
  </si>
  <si>
    <t>ERAMCA-Procjena ekološkog rizika i ublažavanje imovine kulturne baštine u Srednjoj Aziji</t>
  </si>
  <si>
    <t>A679071.018</t>
  </si>
  <si>
    <t>Tekuće pomoći inozemnim vladama</t>
  </si>
  <si>
    <t>INTERREG Rescue</t>
  </si>
  <si>
    <t>A679071.017</t>
  </si>
  <si>
    <t>Subvencije trgovačkim društvima, zadrugama, poljoprivrednici</t>
  </si>
  <si>
    <t>INTERREG IPA CBC Hrvatska - Srbija</t>
  </si>
  <si>
    <t>A679071.014</t>
  </si>
  <si>
    <t>Subvencije trgovačkim društvima izvan javnog sektora</t>
  </si>
  <si>
    <t>Zaštita otmičnih majki u postupku za povratak: Raskrižje između nasilja u obitelji i roditeljskog otmica djeteta</t>
  </si>
  <si>
    <t>A679071.013</t>
  </si>
  <si>
    <t>Subvencije trgovačkim društvima u javnom sektoru</t>
  </si>
  <si>
    <t>EUFams II - Olakšavanje prekograničnog obiteljskog života</t>
  </si>
  <si>
    <t>A679071.012</t>
  </si>
  <si>
    <t>Subvencije kreditnim i ostalim financijskim institucijama u</t>
  </si>
  <si>
    <t>ARDENT-Unapređenje ruralnog razvoja kroz poduzetničko obrazovanje za odrasle</t>
  </si>
  <si>
    <t>A679071.011</t>
  </si>
  <si>
    <t>INTERREG IPA Ozelenjivanje gradova</t>
  </si>
  <si>
    <t>A679071.010</t>
  </si>
  <si>
    <t>IPA AGRICULTURAL WASTE projekt poboljšanja konkurentnosti regionalnih ekonomskih subjekata u prekograničnom području</t>
  </si>
  <si>
    <t>A679071.009</t>
  </si>
  <si>
    <t>Negativne tečajne razlike i razlike zbog primjene valutne kl</t>
  </si>
  <si>
    <t>Projekt energetske obnove zgrade - Strojarski fakultet Slavonski Brod</t>
  </si>
  <si>
    <t>A679071.008</t>
  </si>
  <si>
    <t>ERASMUS+ projekt razvijanja pedagoških vještina kroz boravak na inozemnim ustanovama</t>
  </si>
  <si>
    <t>A679071.007</t>
  </si>
  <si>
    <t>Kamate za primljene zajmove od trgovačkih društava i obrtnik</t>
  </si>
  <si>
    <t>ERASMUS+ projekt međukulturalne razmjene stručnih znanja u građevinarstvu</t>
  </si>
  <si>
    <t>A679071.006</t>
  </si>
  <si>
    <t>Kamate za primljene kredite i zajmove od kreditnih i ostalih</t>
  </si>
  <si>
    <t>ERASMUS+ projekt individualne mobilnosti nastavnog i nenastavnog osoblja kroz boravak na inozemnim ustanovama</t>
  </si>
  <si>
    <t>A679071.005</t>
  </si>
  <si>
    <t>ERASMUS + Ključna mjera 2: suradnja za inovacije i razmjena dobre prakse - e-ProfEng</t>
  </si>
  <si>
    <t>A679071.004</t>
  </si>
  <si>
    <t>Kamate za izdane trezorske zapise</t>
  </si>
  <si>
    <t>ERASMUS+ projekt unaprjeđenja i promicanja telekomunikacijskog inženjeringa</t>
  </si>
  <si>
    <t>A679071.003</t>
  </si>
  <si>
    <t>ERASMUS+ projekt uvođenja novog kolegija u nastavni plan i program Ekonomskog fakulteta u Osijeku</t>
  </si>
  <si>
    <t>A679071.002</t>
  </si>
  <si>
    <t>ERASMUS+ projekt razvijanja i certificiranja nastavnog plana obrazovnog modula logistike na diplomskim studijima Sveučilišta u Osijeku</t>
  </si>
  <si>
    <t>A679071.001</t>
  </si>
  <si>
    <t>Osiguravanje pomoćnika u nastavi i stručnih komunikacijskih posrednika učenicima s teškoćama u razvoju u osnovnoškolskim i srednjoškolskim odgojno-obrazovnim ustanovama - faza IV</t>
  </si>
  <si>
    <t>K818050.026</t>
  </si>
  <si>
    <t>K818050.024</t>
  </si>
  <si>
    <t xml:space="preserve">  Reprezentacija</t>
  </si>
  <si>
    <t>MZO Tehnička pomoć OP ULJP faza I</t>
  </si>
  <si>
    <t>K818050.023</t>
  </si>
  <si>
    <t>Podrška provedbi cjelovite kurikularne reforme (CKR) - faza II</t>
  </si>
  <si>
    <t>K818050.022</t>
  </si>
  <si>
    <t>Podrška provedbi cjelovite kurikularne reforme (CKR)</t>
  </si>
  <si>
    <t>K818050.021</t>
  </si>
  <si>
    <t>Naknade za rad predstavničkih i izvršnih tijela, povjerensta</t>
  </si>
  <si>
    <t>Priprema i uvođenje programskih ugovora</t>
  </si>
  <si>
    <t>K818050.020</t>
  </si>
  <si>
    <t>Uspostava i upravljanje Registrom HKO</t>
  </si>
  <si>
    <t>K818050.019</t>
  </si>
  <si>
    <t>Program razvoja karijera mladih znanstvenika – poslijedoktoranada</t>
  </si>
  <si>
    <t>K818050.017</t>
  </si>
  <si>
    <t>K818050.016</t>
  </si>
  <si>
    <t>K818050.015</t>
  </si>
  <si>
    <t>Dodjela stipendija studentima u prioritetnim područjima STEM</t>
  </si>
  <si>
    <t>K818050.014</t>
  </si>
  <si>
    <t>Dodjela stipendija studentima nižeg socio-ekonomskog statusa</t>
  </si>
  <si>
    <t>K818050.013</t>
  </si>
  <si>
    <t>K818050.011</t>
  </si>
  <si>
    <t>Namjenski primici od inozemnog zaduživanja</t>
  </si>
  <si>
    <t>Unapređenje kvalitete obrazovanja odraslih kroz razvoj i provedbu HKO-a</t>
  </si>
  <si>
    <t>K818050.010</t>
  </si>
  <si>
    <t>Sufinanciranje troškova uključivanja djece  u socio-ekonomski nepovoljnoj situaciji u predškolske ustanove</t>
  </si>
  <si>
    <t>K818050.009</t>
  </si>
  <si>
    <t>K818050.008</t>
  </si>
  <si>
    <t>K818050.007</t>
  </si>
  <si>
    <t>Vojna sredstva za jednokratnu upotrebu</t>
  </si>
  <si>
    <t>K818050.006</t>
  </si>
  <si>
    <t>Fond solidarnosti Europske unije</t>
  </si>
  <si>
    <t>Programska,stručna i financijska podrška obrazovanju učenika romske nacionalne manjine</t>
  </si>
  <si>
    <t>K818050.005</t>
  </si>
  <si>
    <t>Fondovi za unutarnje poslove</t>
  </si>
  <si>
    <t>Podrška obrazovanju odraslih polaznika uključivanjem u prioritetne programe obrazovanja, usmjerene unapređenju vještina i kompetencija polaznika u svrhu povećanja zapošljivosti</t>
  </si>
  <si>
    <t>K818050.004</t>
  </si>
  <si>
    <t>Instrumenti Europskog gospodarskog prostora i ostali instrumenti</t>
  </si>
  <si>
    <t>Unapređenje pismenosti u svrhu promocije cjeloživotnog učenja</t>
  </si>
  <si>
    <t>K818050.003</t>
  </si>
  <si>
    <t>Osiguravanje pomoćnika u nastavi i stručnih komunikacijskih posrednika učenicima s teškoćama u razvoju u osnovnoškolskim i srednjoškolskim odgojno-obrazovnim ustanovama - faza III</t>
  </si>
  <si>
    <t>K818050.001</t>
  </si>
  <si>
    <t>Tehnička pomoć za MZO</t>
  </si>
  <si>
    <t>K578051.009</t>
  </si>
  <si>
    <t>Ostale naknade troškova zaposlenima</t>
  </si>
  <si>
    <t>Ostale refundacije iz pomoći EU</t>
  </si>
  <si>
    <t>Poziv Centri kompetencija</t>
  </si>
  <si>
    <t>K578051.008</t>
  </si>
  <si>
    <t>Švicarski instrument</t>
  </si>
  <si>
    <t>K578051.006</t>
  </si>
  <si>
    <t>Veliki projekt: ˝Dječji centar za translacijsku medicinu˝ Dječje bolnice Srebrnjak</t>
  </si>
  <si>
    <t>K578051.005</t>
  </si>
  <si>
    <t>K578051.004</t>
  </si>
  <si>
    <t>Jačanje kapaciteta za istraživanje, razvoj i inovacije (STRIP)</t>
  </si>
  <si>
    <t>K578051.003</t>
  </si>
  <si>
    <t>Prihodi od igara na sreću</t>
  </si>
  <si>
    <t>K578051.002</t>
  </si>
  <si>
    <t>K578051.001</t>
  </si>
  <si>
    <t>NOVI PODPROJEKT</t>
  </si>
  <si>
    <t>Plaće u naravi</t>
  </si>
  <si>
    <t>left2</t>
  </si>
  <si>
    <t>left3</t>
  </si>
  <si>
    <t>Primatelj prijenosa</t>
  </si>
  <si>
    <t>OPIS PODPROJEKTA</t>
  </si>
  <si>
    <t>TKO JE UPLATITELJ SREDSTAVA ZA EU PROJEKT</t>
  </si>
  <si>
    <t xml:space="preserve">Vrijedi do: </t>
  </si>
  <si>
    <t xml:space="preserve">Vrijedi od: </t>
  </si>
  <si>
    <t>NAZIV NOVOG PODPROJEKTA</t>
  </si>
  <si>
    <t>Izvršenje I-VI 2023</t>
  </si>
  <si>
    <t>Plan 2023 (Rebalans)</t>
  </si>
  <si>
    <t>Izvršenje I-VI 2022</t>
  </si>
  <si>
    <t>FP</t>
  </si>
  <si>
    <t>AKTIVNOST/PODPROJEKT
(odaberite)</t>
  </si>
  <si>
    <t>OPIS STAVKE</t>
  </si>
  <si>
    <t>Stavka
(odaberite)</t>
  </si>
  <si>
    <t>IZVOR
(odaberite)</t>
  </si>
  <si>
    <t>u EUR</t>
  </si>
  <si>
    <t>EU PODPROJEKTI - rashodi</t>
  </si>
  <si>
    <t>Istraživanje utjecaja metalnih promotora rijetkih zemalja i stupnja uređenja na redoks svojstva sustava CeO2-ZrO2</t>
  </si>
  <si>
    <t>01.10.2019.</t>
  </si>
  <si>
    <t>31.05.2023.</t>
  </si>
  <si>
    <t>HRVATSKA ZAKLADA ZA ZNANOST</t>
  </si>
  <si>
    <t>Program znanstvene suradnje kojim se kroz suradnju domaćin znanstvenika i znanstvenika hrvatskog porijekla koji žive i rade u inozemstvu omogujuje prijenos znanja i privlačenje ulaganja primarno u sustav znanosti i tehnologije RH</t>
  </si>
  <si>
    <t>2020.</t>
  </si>
  <si>
    <t>2023.</t>
  </si>
  <si>
    <t>ministarstvo</t>
  </si>
  <si>
    <t>ZICER- Ulaganje u organizacijsku reformu i infrastrukturu sektora istraživanja, razvoja i inovacija</t>
  </si>
  <si>
    <t>2017.</t>
  </si>
  <si>
    <t>ZCI za personaliziranu brigu o zdravlju</t>
  </si>
  <si>
    <t>2019.</t>
  </si>
  <si>
    <t>2022.</t>
  </si>
  <si>
    <t>Agencija za mobilnost i EU projekte</t>
  </si>
  <si>
    <t>Program Erasmus +- ključna aktivnost 1 za područje visokog obrazovanja za projekte mobilnosti između programskih i partnerskih zemalja</t>
  </si>
  <si>
    <t>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</si>
</sst>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scheme val="minor"/>
    </font>
    <font>
      <sz val="10"/>
      <color rgb="FF000000"/>
      <name val="Arial"/>
      <family val="2"/>
    </font>
    <font>
      <sz val="12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0"/>
      <color rgb="FF000000"/>
      <name val="Open Sans"/>
    </font>
    <font>
      <b/>
      <sz val="11"/>
      <color rgb="FFFFC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rgb="FFFFFF00"/>
        <bgColor indexed="62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18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4" fontId="28" fillId="0" borderId="11" applyNumberFormat="0" applyProtection="0">
      <alignment horizontal="right" vertical="center"/>
    </xf>
    <xf numFmtId="0" fontId="39" fillId="15" borderId="17" applyNumberFormat="0" applyProtection="0">
      <alignment horizontal="left" vertical="center" indent="1"/>
    </xf>
    <xf numFmtId="0" fontId="1" fillId="0" borderId="0"/>
    <xf numFmtId="4" fontId="28" fillId="16" borderId="11" applyNumberFormat="0" applyProtection="0">
      <alignment horizontal="left" vertical="center" indent="1" justifyLastLine="1"/>
    </xf>
    <xf numFmtId="0" fontId="48" fillId="0" borderId="0"/>
    <xf numFmtId="4" fontId="28" fillId="16" borderId="11" applyNumberFormat="0" applyProtection="0">
      <alignment horizontal="left" vertical="center" indent="1" justifyLastLine="1"/>
    </xf>
  </cellStyleXfs>
  <cellXfs count="366">
    <xf numFmtId="0" fontId="0" fillId="0" borderId="0" xfId="0"/>
    <xf numFmtId="0" fontId="7" fillId="0" borderId="0" xfId="2" applyFont="1"/>
    <xf numFmtId="0" fontId="5" fillId="3" borderId="1" xfId="2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vertical="center" wrapText="1"/>
    </xf>
    <xf numFmtId="3" fontId="8" fillId="5" borderId="2" xfId="2" applyNumberFormat="1" applyFont="1" applyFill="1" applyBorder="1" applyAlignment="1">
      <alignment horizontal="right" vertical="center"/>
    </xf>
    <xf numFmtId="164" fontId="7" fillId="0" borderId="0" xfId="2" applyNumberFormat="1" applyFont="1"/>
    <xf numFmtId="3" fontId="8" fillId="3" borderId="1" xfId="2" applyNumberFormat="1" applyFont="1" applyFill="1" applyBorder="1" applyAlignment="1">
      <alignment vertical="center"/>
    </xf>
    <xf numFmtId="164" fontId="5" fillId="4" borderId="1" xfId="2" applyNumberFormat="1" applyFont="1" applyFill="1" applyBorder="1" applyAlignment="1">
      <alignment horizontal="right" vertical="center"/>
    </xf>
    <xf numFmtId="3" fontId="7" fillId="3" borderId="1" xfId="2" applyNumberFormat="1" applyFont="1" applyFill="1" applyBorder="1" applyAlignment="1">
      <alignment vertical="center" wrapText="1"/>
    </xf>
    <xf numFmtId="3" fontId="7" fillId="0" borderId="0" xfId="2" applyNumberFormat="1" applyFont="1"/>
    <xf numFmtId="3" fontId="7" fillId="3" borderId="1" xfId="2" applyNumberFormat="1" applyFont="1" applyFill="1" applyBorder="1" applyAlignment="1">
      <alignment vertical="center"/>
    </xf>
    <xf numFmtId="164" fontId="9" fillId="4" borderId="3" xfId="2" applyNumberFormat="1" applyFont="1" applyFill="1" applyBorder="1" applyAlignment="1">
      <alignment horizontal="right" vertical="center"/>
    </xf>
    <xf numFmtId="0" fontId="7" fillId="2" borderId="0" xfId="2" applyFont="1" applyFill="1"/>
    <xf numFmtId="0" fontId="10" fillId="0" borderId="0" xfId="1" applyFont="1" applyAlignment="1">
      <alignment wrapText="1"/>
    </xf>
    <xf numFmtId="3" fontId="12" fillId="3" borderId="1" xfId="2" applyNumberFormat="1" applyFont="1" applyFill="1" applyBorder="1" applyAlignment="1">
      <alignment horizontal="right" vertical="center"/>
    </xf>
    <xf numFmtId="3" fontId="12" fillId="3" borderId="1" xfId="2" applyNumberFormat="1" applyFont="1" applyFill="1" applyBorder="1" applyAlignment="1">
      <alignment horizontal="right" vertical="center" wrapText="1"/>
    </xf>
    <xf numFmtId="3" fontId="13" fillId="6" borderId="2" xfId="2" applyNumberFormat="1" applyFont="1" applyFill="1" applyBorder="1" applyAlignment="1">
      <alignment vertical="center"/>
    </xf>
    <xf numFmtId="3" fontId="13" fillId="4" borderId="3" xfId="2" applyNumberFormat="1" applyFont="1" applyFill="1" applyBorder="1" applyAlignment="1">
      <alignment horizontal="right" vertical="center"/>
    </xf>
    <xf numFmtId="0" fontId="11" fillId="0" borderId="0" xfId="2" applyFont="1"/>
    <xf numFmtId="0" fontId="11" fillId="3" borderId="0" xfId="2" applyFont="1" applyFill="1" applyAlignment="1">
      <alignment vertical="center"/>
    </xf>
    <xf numFmtId="3" fontId="12" fillId="3" borderId="9" xfId="2" applyNumberFormat="1" applyFont="1" applyFill="1" applyBorder="1" applyAlignment="1">
      <alignment horizontal="right" vertical="center"/>
    </xf>
    <xf numFmtId="3" fontId="11" fillId="0" borderId="0" xfId="2" applyNumberFormat="1" applyFont="1" applyAlignment="1">
      <alignment vertical="center"/>
    </xf>
    <xf numFmtId="3" fontId="12" fillId="5" borderId="2" xfId="2" applyNumberFormat="1" applyFont="1" applyFill="1" applyBorder="1" applyAlignment="1">
      <alignment horizontal="center" vertical="center" wrapText="1"/>
    </xf>
    <xf numFmtId="3" fontId="12" fillId="3" borderId="2" xfId="2" applyNumberFormat="1" applyFont="1" applyFill="1" applyBorder="1" applyAlignment="1">
      <alignment horizontal="center" vertical="center" wrapText="1"/>
    </xf>
    <xf numFmtId="3" fontId="14" fillId="3" borderId="2" xfId="2" applyNumberFormat="1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3" fontId="16" fillId="5" borderId="2" xfId="2" applyNumberFormat="1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3" fontId="16" fillId="0" borderId="2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3" fontId="12" fillId="7" borderId="2" xfId="2" applyNumberFormat="1" applyFont="1" applyFill="1" applyBorder="1" applyAlignment="1">
      <alignment horizontal="center" vertical="center" wrapText="1"/>
    </xf>
    <xf numFmtId="3" fontId="12" fillId="7" borderId="2" xfId="2" applyNumberFormat="1" applyFont="1" applyFill="1" applyBorder="1" applyAlignment="1">
      <alignment horizontal="right" vertical="center" wrapText="1"/>
    </xf>
    <xf numFmtId="3" fontId="14" fillId="7" borderId="2" xfId="2" applyNumberFormat="1" applyFont="1" applyFill="1" applyBorder="1" applyAlignment="1">
      <alignment horizontal="left" vertical="center"/>
    </xf>
    <xf numFmtId="0" fontId="18" fillId="2" borderId="2" xfId="2" applyFont="1" applyFill="1" applyBorder="1" applyAlignment="1">
      <alignment vertical="center"/>
    </xf>
    <xf numFmtId="49" fontId="12" fillId="3" borderId="2" xfId="2" applyNumberFormat="1" applyFont="1" applyFill="1" applyBorder="1" applyAlignment="1">
      <alignment horizontal="right" vertical="center"/>
    </xf>
    <xf numFmtId="49" fontId="12" fillId="3" borderId="2" xfId="2" applyNumberFormat="1" applyFont="1" applyFill="1" applyBorder="1" applyAlignment="1">
      <alignment horizontal="center" vertical="center"/>
    </xf>
    <xf numFmtId="49" fontId="14" fillId="3" borderId="2" xfId="2" applyNumberFormat="1" applyFont="1" applyFill="1" applyBorder="1" applyAlignment="1">
      <alignment horizontal="left" vertical="center" wrapText="1"/>
    </xf>
    <xf numFmtId="3" fontId="12" fillId="3" borderId="2" xfId="2" applyNumberFormat="1" applyFont="1" applyFill="1" applyBorder="1" applyAlignment="1">
      <alignment horizontal="right" vertical="center"/>
    </xf>
    <xf numFmtId="3" fontId="12" fillId="3" borderId="2" xfId="2" applyNumberFormat="1" applyFont="1" applyFill="1" applyBorder="1" applyAlignment="1">
      <alignment horizontal="right" vertical="center" wrapText="1"/>
    </xf>
    <xf numFmtId="0" fontId="14" fillId="0" borderId="2" xfId="3" applyFont="1" applyFill="1" applyBorder="1" applyAlignment="1">
      <alignment horizontal="left" vertical="center" wrapText="1"/>
    </xf>
    <xf numFmtId="49" fontId="20" fillId="3" borderId="2" xfId="2" applyNumberFormat="1" applyFont="1" applyFill="1" applyBorder="1" applyAlignment="1">
      <alignment horizontal="right" vertical="center"/>
    </xf>
    <xf numFmtId="49" fontId="20" fillId="3" borderId="2" xfId="2" applyNumberFormat="1" applyFont="1" applyFill="1" applyBorder="1" applyAlignment="1">
      <alignment horizontal="center" vertical="center"/>
    </xf>
    <xf numFmtId="49" fontId="20" fillId="3" borderId="2" xfId="2" applyNumberFormat="1" applyFont="1" applyFill="1" applyBorder="1" applyAlignment="1">
      <alignment horizontal="left" vertical="center" wrapText="1"/>
    </xf>
    <xf numFmtId="3" fontId="20" fillId="3" borderId="2" xfId="2" applyNumberFormat="1" applyFont="1" applyFill="1" applyBorder="1" applyAlignment="1">
      <alignment horizontal="right" vertical="center"/>
    </xf>
    <xf numFmtId="49" fontId="14" fillId="3" borderId="2" xfId="2" applyNumberFormat="1" applyFont="1" applyFill="1" applyBorder="1" applyAlignment="1">
      <alignment horizontal="right" vertical="center"/>
    </xf>
    <xf numFmtId="3" fontId="14" fillId="3" borderId="2" xfId="2" applyNumberFormat="1" applyFont="1" applyFill="1" applyBorder="1" applyAlignment="1">
      <alignment horizontal="right" vertical="center"/>
    </xf>
    <xf numFmtId="0" fontId="15" fillId="2" borderId="2" xfId="2" applyFont="1" applyFill="1" applyBorder="1" applyAlignment="1">
      <alignment vertical="center"/>
    </xf>
    <xf numFmtId="49" fontId="11" fillId="3" borderId="2" xfId="2" applyNumberFormat="1" applyFont="1" applyFill="1" applyBorder="1" applyAlignment="1">
      <alignment horizontal="right" vertical="center"/>
    </xf>
    <xf numFmtId="0" fontId="15" fillId="0" borderId="2" xfId="2" applyFont="1" applyBorder="1" applyAlignment="1">
      <alignment vertical="center"/>
    </xf>
    <xf numFmtId="3" fontId="11" fillId="3" borderId="2" xfId="2" applyNumberFormat="1" applyFont="1" applyFill="1" applyBorder="1" applyAlignment="1">
      <alignment horizontal="right" vertical="center"/>
    </xf>
    <xf numFmtId="0" fontId="21" fillId="0" borderId="2" xfId="2" applyFont="1" applyBorder="1" applyAlignment="1">
      <alignment vertical="center"/>
    </xf>
    <xf numFmtId="0" fontId="22" fillId="2" borderId="2" xfId="2" applyFont="1" applyFill="1" applyBorder="1" applyAlignment="1">
      <alignment vertical="center"/>
    </xf>
    <xf numFmtId="0" fontId="22" fillId="2" borderId="2" xfId="2" applyFont="1" applyFill="1" applyBorder="1" applyAlignment="1">
      <alignment horizontal="right" vertical="center"/>
    </xf>
    <xf numFmtId="0" fontId="23" fillId="5" borderId="2" xfId="2" applyFont="1" applyFill="1" applyBorder="1" applyAlignment="1">
      <alignment horizontal="center" vertical="center"/>
    </xf>
    <xf numFmtId="49" fontId="24" fillId="5" borderId="2" xfId="2" applyNumberFormat="1" applyFont="1" applyFill="1" applyBorder="1" applyAlignment="1">
      <alignment horizontal="left" vertical="center" wrapText="1"/>
    </xf>
    <xf numFmtId="3" fontId="23" fillId="5" borderId="2" xfId="2" applyNumberFormat="1" applyFont="1" applyFill="1" applyBorder="1" applyAlignment="1">
      <alignment horizontal="right" vertical="center"/>
    </xf>
    <xf numFmtId="3" fontId="22" fillId="5" borderId="2" xfId="2" applyNumberFormat="1" applyFont="1" applyFill="1" applyBorder="1" applyAlignment="1">
      <alignment horizontal="right" vertical="center" wrapText="1"/>
    </xf>
    <xf numFmtId="3" fontId="25" fillId="2" borderId="0" xfId="2" applyNumberFormat="1" applyFont="1" applyFill="1" applyAlignment="1">
      <alignment vertical="center"/>
    </xf>
    <xf numFmtId="0" fontId="25" fillId="2" borderId="0" xfId="2" applyFont="1" applyFill="1" applyAlignment="1">
      <alignment vertical="center"/>
    </xf>
    <xf numFmtId="0" fontId="12" fillId="2" borderId="2" xfId="2" applyFont="1" applyFill="1" applyBorder="1" applyAlignment="1">
      <alignment vertical="center"/>
    </xf>
    <xf numFmtId="0" fontId="12" fillId="2" borderId="2" xfId="2" applyFont="1" applyFill="1" applyBorder="1" applyAlignment="1">
      <alignment horizontal="right" vertical="center"/>
    </xf>
    <xf numFmtId="0" fontId="13" fillId="5" borderId="2" xfId="2" applyFont="1" applyFill="1" applyBorder="1" applyAlignment="1">
      <alignment horizontal="center" vertical="center"/>
    </xf>
    <xf numFmtId="3" fontId="14" fillId="3" borderId="2" xfId="2" applyNumberFormat="1" applyFont="1" applyFill="1" applyBorder="1" applyAlignment="1">
      <alignment horizontal="left" vertical="center"/>
    </xf>
    <xf numFmtId="3" fontId="13" fillId="5" borderId="2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3" fontId="11" fillId="2" borderId="0" xfId="2" applyNumberFormat="1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1" fillId="2" borderId="2" xfId="2" applyFont="1" applyFill="1" applyBorder="1" applyAlignment="1">
      <alignment horizontal="right" vertical="center"/>
    </xf>
    <xf numFmtId="49" fontId="20" fillId="5" borderId="2" xfId="2" applyNumberFormat="1" applyFont="1" applyFill="1" applyBorder="1" applyAlignment="1">
      <alignment horizontal="left" vertical="center" wrapText="1"/>
    </xf>
    <xf numFmtId="3" fontId="20" fillId="5" borderId="2" xfId="2" applyNumberFormat="1" applyFont="1" applyFill="1" applyBorder="1" applyAlignment="1">
      <alignment horizontal="right" vertical="center"/>
    </xf>
    <xf numFmtId="3" fontId="11" fillId="5" borderId="2" xfId="2" applyNumberFormat="1" applyFont="1" applyFill="1" applyBorder="1" applyAlignment="1">
      <alignment horizontal="right" vertical="center"/>
    </xf>
    <xf numFmtId="49" fontId="14" fillId="5" borderId="2" xfId="2" applyNumberFormat="1" applyFont="1" applyFill="1" applyBorder="1" applyAlignment="1">
      <alignment horizontal="left" vertical="center" wrapText="1"/>
    </xf>
    <xf numFmtId="3" fontId="20" fillId="3" borderId="2" xfId="2" applyNumberFormat="1" applyFont="1" applyFill="1" applyBorder="1" applyAlignment="1">
      <alignment horizontal="right" vertical="center" wrapText="1"/>
    </xf>
    <xf numFmtId="49" fontId="11" fillId="3" borderId="2" xfId="2" applyNumberFormat="1" applyFont="1" applyFill="1" applyBorder="1" applyAlignment="1">
      <alignment horizontal="center" vertical="center"/>
    </xf>
    <xf numFmtId="3" fontId="11" fillId="3" borderId="2" xfId="2" applyNumberFormat="1" applyFont="1" applyFill="1" applyBorder="1" applyAlignment="1">
      <alignment horizontal="right" vertical="center" wrapText="1"/>
    </xf>
    <xf numFmtId="0" fontId="12" fillId="0" borderId="2" xfId="2" applyFont="1" applyBorder="1" applyAlignment="1">
      <alignment horizontal="right" vertical="center"/>
    </xf>
    <xf numFmtId="0" fontId="12" fillId="0" borderId="2" xfId="2" applyFont="1" applyBorder="1" applyAlignment="1">
      <alignment horizontal="center" vertical="center"/>
    </xf>
    <xf numFmtId="49" fontId="14" fillId="0" borderId="2" xfId="2" applyNumberFormat="1" applyFont="1" applyBorder="1" applyAlignment="1">
      <alignment horizontal="left" vertical="center" wrapText="1"/>
    </xf>
    <xf numFmtId="3" fontId="12" fillId="0" borderId="2" xfId="2" applyNumberFormat="1" applyFont="1" applyBorder="1" applyAlignment="1">
      <alignment horizontal="right" vertical="center"/>
    </xf>
    <xf numFmtId="0" fontId="11" fillId="5" borderId="2" xfId="2" applyFont="1" applyFill="1" applyBorder="1" applyAlignment="1">
      <alignment horizontal="center" vertical="center"/>
    </xf>
    <xf numFmtId="49" fontId="14" fillId="3" borderId="2" xfId="2" applyNumberFormat="1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vertical="center"/>
    </xf>
    <xf numFmtId="0" fontId="20" fillId="5" borderId="2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vertical="center"/>
    </xf>
    <xf numFmtId="0" fontId="18" fillId="8" borderId="2" xfId="2" applyFont="1" applyFill="1" applyBorder="1" applyAlignment="1">
      <alignment vertical="center"/>
    </xf>
    <xf numFmtId="0" fontId="13" fillId="7" borderId="2" xfId="2" applyFont="1" applyFill="1" applyBorder="1" applyAlignment="1">
      <alignment horizontal="center" vertical="center"/>
    </xf>
    <xf numFmtId="49" fontId="14" fillId="7" borderId="2" xfId="2" applyNumberFormat="1" applyFont="1" applyFill="1" applyBorder="1" applyAlignment="1">
      <alignment horizontal="left" vertical="center" wrapText="1"/>
    </xf>
    <xf numFmtId="3" fontId="13" fillId="7" borderId="2" xfId="2" applyNumberFormat="1" applyFont="1" applyFill="1" applyBorder="1" applyAlignment="1">
      <alignment horizontal="right" vertical="center"/>
    </xf>
    <xf numFmtId="3" fontId="11" fillId="8" borderId="0" xfId="2" applyNumberFormat="1" applyFont="1" applyFill="1" applyAlignment="1">
      <alignment vertical="center"/>
    </xf>
    <xf numFmtId="0" fontId="15" fillId="8" borderId="0" xfId="2" applyFont="1" applyFill="1" applyAlignment="1">
      <alignment vertical="center"/>
    </xf>
    <xf numFmtId="0" fontId="14" fillId="0" borderId="2" xfId="4" applyFont="1" applyFill="1" applyBorder="1" applyAlignment="1">
      <alignment horizontal="left" wrapText="1"/>
    </xf>
    <xf numFmtId="3" fontId="12" fillId="5" borderId="2" xfId="2" applyNumberFormat="1" applyFont="1" applyFill="1" applyBorder="1" applyAlignment="1">
      <alignment horizontal="right" vertical="center" wrapText="1"/>
    </xf>
    <xf numFmtId="3" fontId="13" fillId="3" borderId="2" xfId="2" applyNumberFormat="1" applyFont="1" applyFill="1" applyBorder="1" applyAlignment="1">
      <alignment horizontal="right" vertical="center"/>
    </xf>
    <xf numFmtId="3" fontId="13" fillId="5" borderId="0" xfId="2" applyNumberFormat="1" applyFont="1" applyFill="1" applyAlignment="1">
      <alignment horizontal="center" vertical="center"/>
    </xf>
    <xf numFmtId="3" fontId="13" fillId="3" borderId="0" xfId="2" applyNumberFormat="1" applyFont="1" applyFill="1" applyAlignment="1">
      <alignment horizontal="center" vertical="center"/>
    </xf>
    <xf numFmtId="3" fontId="20" fillId="3" borderId="0" xfId="2" applyNumberFormat="1" applyFont="1" applyFill="1" applyAlignment="1">
      <alignment horizontal="right" vertical="center"/>
    </xf>
    <xf numFmtId="3" fontId="14" fillId="3" borderId="0" xfId="2" applyNumberFormat="1" applyFont="1" applyFill="1" applyAlignment="1">
      <alignment horizontal="center" vertical="center"/>
    </xf>
    <xf numFmtId="3" fontId="5" fillId="3" borderId="0" xfId="2" applyNumberFormat="1" applyFont="1" applyFill="1" applyBorder="1" applyAlignment="1">
      <alignment horizontal="center" vertical="center" wrapText="1"/>
    </xf>
    <xf numFmtId="3" fontId="23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49" fontId="12" fillId="7" borderId="10" xfId="2" applyNumberFormat="1" applyFont="1" applyFill="1" applyBorder="1" applyAlignment="1">
      <alignment horizontal="center" vertical="center"/>
    </xf>
    <xf numFmtId="0" fontId="12" fillId="8" borderId="10" xfId="2" applyFont="1" applyFill="1" applyBorder="1" applyAlignment="1">
      <alignment vertical="center"/>
    </xf>
    <xf numFmtId="49" fontId="14" fillId="7" borderId="10" xfId="2" applyNumberFormat="1" applyFont="1" applyFill="1" applyBorder="1" applyAlignment="1">
      <alignment vertical="center"/>
    </xf>
    <xf numFmtId="3" fontId="12" fillId="7" borderId="10" xfId="2" applyNumberFormat="1" applyFont="1" applyFill="1" applyBorder="1" applyAlignment="1">
      <alignment horizontal="right" vertical="center" wrapText="1"/>
    </xf>
    <xf numFmtId="3" fontId="12" fillId="8" borderId="2" xfId="2" applyNumberFormat="1" applyFont="1" applyFill="1" applyBorder="1" applyAlignment="1">
      <alignment horizontal="right" vertical="center"/>
    </xf>
    <xf numFmtId="49" fontId="12" fillId="9" borderId="2" xfId="2" applyNumberFormat="1" applyFont="1" applyFill="1" applyBorder="1" applyAlignment="1">
      <alignment horizontal="right" vertical="center"/>
    </xf>
    <xf numFmtId="0" fontId="12" fillId="6" borderId="2" xfId="2" applyFont="1" applyFill="1" applyBorder="1" applyAlignment="1">
      <alignment vertical="center"/>
    </xf>
    <xf numFmtId="49" fontId="14" fillId="9" borderId="2" xfId="2" applyNumberFormat="1" applyFont="1" applyFill="1" applyBorder="1" applyAlignment="1">
      <alignment vertical="center"/>
    </xf>
    <xf numFmtId="3" fontId="12" fillId="9" borderId="2" xfId="2" applyNumberFormat="1" applyFont="1" applyFill="1" applyBorder="1" applyAlignment="1">
      <alignment horizontal="right" vertical="center"/>
    </xf>
    <xf numFmtId="3" fontId="12" fillId="6" borderId="2" xfId="2" applyNumberFormat="1" applyFont="1" applyFill="1" applyBorder="1" applyAlignment="1">
      <alignment horizontal="right" vertical="center"/>
    </xf>
    <xf numFmtId="49" fontId="12" fillId="0" borderId="2" xfId="2" applyNumberFormat="1" applyFont="1" applyBorder="1" applyAlignment="1">
      <alignment horizontal="right" vertical="center"/>
    </xf>
    <xf numFmtId="0" fontId="11" fillId="0" borderId="2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3" fontId="11" fillId="0" borderId="2" xfId="2" applyNumberFormat="1" applyFont="1" applyBorder="1" applyAlignment="1">
      <alignment horizontal="right" vertical="center"/>
    </xf>
    <xf numFmtId="0" fontId="11" fillId="2" borderId="2" xfId="2" applyFont="1" applyFill="1" applyBorder="1" applyAlignment="1">
      <alignment vertical="center"/>
    </xf>
    <xf numFmtId="49" fontId="11" fillId="0" borderId="2" xfId="2" applyNumberFormat="1" applyFont="1" applyBorder="1" applyAlignment="1">
      <alignment horizontal="right" vertical="center"/>
    </xf>
    <xf numFmtId="0" fontId="20" fillId="0" borderId="2" xfId="2" applyFont="1" applyBorder="1" applyAlignment="1">
      <alignment vertical="center"/>
    </xf>
    <xf numFmtId="0" fontId="14" fillId="2" borderId="2" xfId="2" applyFont="1" applyFill="1" applyBorder="1" applyAlignment="1">
      <alignment vertical="center"/>
    </xf>
    <xf numFmtId="49" fontId="14" fillId="0" borderId="2" xfId="2" applyNumberFormat="1" applyFont="1" applyBorder="1" applyAlignment="1">
      <alignment horizontal="right" vertical="center"/>
    </xf>
    <xf numFmtId="0" fontId="14" fillId="0" borderId="2" xfId="5" applyFont="1" applyFill="1" applyBorder="1" applyAlignment="1">
      <alignment horizontal="left" vertical="center" wrapText="1"/>
    </xf>
    <xf numFmtId="3" fontId="14" fillId="0" borderId="2" xfId="2" applyNumberFormat="1" applyFont="1" applyBorder="1" applyAlignment="1">
      <alignment horizontal="right" vertical="center"/>
    </xf>
    <xf numFmtId="3" fontId="14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3" fontId="12" fillId="3" borderId="2" xfId="2" applyNumberFormat="1" applyFont="1" applyFill="1" applyBorder="1" applyAlignment="1">
      <alignment vertical="center"/>
    </xf>
    <xf numFmtId="3" fontId="27" fillId="0" borderId="2" xfId="2" applyNumberFormat="1" applyFont="1" applyBorder="1" applyAlignment="1">
      <alignment horizontal="right" vertical="center"/>
    </xf>
    <xf numFmtId="3" fontId="11" fillId="3" borderId="2" xfId="2" applyNumberFormat="1" applyFont="1" applyFill="1" applyBorder="1" applyAlignment="1">
      <alignment vertical="center"/>
    </xf>
    <xf numFmtId="3" fontId="29" fillId="0" borderId="11" xfId="6" applyNumberFormat="1" applyFont="1" applyFill="1" applyProtection="1">
      <alignment horizontal="right" vertical="center"/>
      <protection locked="0"/>
    </xf>
    <xf numFmtId="0" fontId="20" fillId="0" borderId="2" xfId="2" applyFont="1" applyBorder="1" applyAlignment="1">
      <alignment vertical="center" wrapText="1"/>
    </xf>
    <xf numFmtId="3" fontId="13" fillId="0" borderId="2" xfId="2" applyNumberFormat="1" applyFont="1" applyBorder="1" applyAlignment="1">
      <alignment horizontal="right" vertical="center"/>
    </xf>
    <xf numFmtId="3" fontId="23" fillId="0" borderId="2" xfId="2" applyNumberFormat="1" applyFont="1" applyBorder="1" applyAlignment="1">
      <alignment horizontal="right" vertical="center"/>
    </xf>
    <xf numFmtId="0" fontId="20" fillId="0" borderId="2" xfId="5" applyFont="1" applyFill="1" applyBorder="1" applyAlignment="1">
      <alignment horizontal="left" vertical="center" wrapText="1"/>
    </xf>
    <xf numFmtId="3" fontId="11" fillId="2" borderId="2" xfId="2" applyNumberFormat="1" applyFont="1" applyFill="1" applyBorder="1" applyAlignment="1">
      <alignment horizontal="right" vertical="center"/>
    </xf>
    <xf numFmtId="3" fontId="14" fillId="2" borderId="2" xfId="2" applyNumberFormat="1" applyFont="1" applyFill="1" applyBorder="1" applyAlignment="1">
      <alignment horizontal="right" vertical="center"/>
    </xf>
    <xf numFmtId="0" fontId="20" fillId="0" borderId="2" xfId="1" applyFont="1" applyFill="1" applyBorder="1" applyAlignment="1">
      <alignment vertical="center" wrapText="1"/>
    </xf>
    <xf numFmtId="0" fontId="14" fillId="10" borderId="2" xfId="5" applyFont="1" applyFill="1" applyBorder="1" applyAlignment="1">
      <alignment horizontal="left" vertical="center" wrapText="1"/>
    </xf>
    <xf numFmtId="3" fontId="11" fillId="0" borderId="2" xfId="2" applyNumberFormat="1" applyFont="1" applyBorder="1" applyAlignment="1">
      <alignment vertical="center" wrapText="1"/>
    </xf>
    <xf numFmtId="0" fontId="23" fillId="2" borderId="2" xfId="2" applyFont="1" applyFill="1" applyBorder="1" applyAlignment="1">
      <alignment vertical="center"/>
    </xf>
    <xf numFmtId="49" fontId="23" fillId="5" borderId="2" xfId="2" applyNumberFormat="1" applyFont="1" applyFill="1" applyBorder="1" applyAlignment="1">
      <alignment horizontal="right" vertical="center"/>
    </xf>
    <xf numFmtId="49" fontId="24" fillId="5" borderId="2" xfId="2" applyNumberFormat="1" applyFont="1" applyFill="1" applyBorder="1" applyAlignment="1">
      <alignment vertical="center"/>
    </xf>
    <xf numFmtId="3" fontId="23" fillId="5" borderId="2" xfId="2" applyNumberFormat="1" applyFont="1" applyFill="1" applyBorder="1" applyAlignment="1">
      <alignment horizontal="right" vertical="center" wrapText="1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0" xfId="2" applyNumberFormat="1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13" fillId="3" borderId="2" xfId="2" applyFont="1" applyFill="1" applyBorder="1" applyAlignment="1">
      <alignment horizontal="center" vertical="center"/>
    </xf>
    <xf numFmtId="49" fontId="13" fillId="3" borderId="2" xfId="2" applyNumberFormat="1" applyFont="1" applyFill="1" applyBorder="1" applyAlignment="1">
      <alignment horizontal="right" vertical="center"/>
    </xf>
    <xf numFmtId="49" fontId="14" fillId="3" borderId="2" xfId="2" applyNumberFormat="1" applyFont="1" applyFill="1" applyBorder="1" applyAlignment="1">
      <alignment vertical="center"/>
    </xf>
    <xf numFmtId="3" fontId="13" fillId="3" borderId="2" xfId="2" applyNumberFormat="1" applyFont="1" applyFill="1" applyBorder="1" applyAlignment="1">
      <alignment horizontal="right" vertical="center" wrapText="1"/>
    </xf>
    <xf numFmtId="0" fontId="20" fillId="3" borderId="2" xfId="2" applyFont="1" applyFill="1" applyBorder="1" applyAlignment="1">
      <alignment horizontal="center" vertical="center"/>
    </xf>
    <xf numFmtId="49" fontId="20" fillId="3" borderId="2" xfId="2" applyNumberFormat="1" applyFont="1" applyFill="1" applyBorder="1" applyAlignment="1">
      <alignment vertical="center"/>
    </xf>
    <xf numFmtId="49" fontId="12" fillId="5" borderId="2" xfId="2" applyNumberFormat="1" applyFont="1" applyFill="1" applyBorder="1" applyAlignment="1">
      <alignment horizontal="right" vertical="center"/>
    </xf>
    <xf numFmtId="49" fontId="14" fillId="5" borderId="2" xfId="2" applyNumberFormat="1" applyFont="1" applyFill="1" applyBorder="1" applyAlignment="1">
      <alignment vertical="center"/>
    </xf>
    <xf numFmtId="3" fontId="12" fillId="5" borderId="2" xfId="2" applyNumberFormat="1" applyFont="1" applyFill="1" applyBorder="1" applyAlignment="1">
      <alignment horizontal="right" vertical="center"/>
    </xf>
    <xf numFmtId="3" fontId="12" fillId="2" borderId="2" xfId="2" applyNumberFormat="1" applyFont="1" applyFill="1" applyBorder="1" applyAlignment="1">
      <alignment horizontal="right" vertical="center"/>
    </xf>
    <xf numFmtId="49" fontId="20" fillId="5" borderId="2" xfId="2" applyNumberFormat="1" applyFont="1" applyFill="1" applyBorder="1" applyAlignment="1">
      <alignment horizontal="right" vertical="center"/>
    </xf>
    <xf numFmtId="3" fontId="30" fillId="2" borderId="12" xfId="1" applyNumberFormat="1" applyFont="1" applyFill="1" applyBorder="1" applyAlignment="1" applyProtection="1">
      <alignment horizontal="right" vertical="center"/>
      <protection locked="0"/>
    </xf>
    <xf numFmtId="49" fontId="14" fillId="5" borderId="2" xfId="2" applyNumberFormat="1" applyFont="1" applyFill="1" applyBorder="1" applyAlignment="1">
      <alignment horizontal="right"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2" borderId="0" xfId="2" applyNumberFormat="1" applyFont="1" applyFill="1" applyAlignment="1">
      <alignment vertical="center"/>
    </xf>
    <xf numFmtId="0" fontId="21" fillId="2" borderId="0" xfId="2" applyFont="1" applyFill="1" applyAlignment="1">
      <alignment vertical="center"/>
    </xf>
    <xf numFmtId="0" fontId="13" fillId="3" borderId="2" xfId="2" applyFont="1" applyFill="1" applyBorder="1" applyAlignment="1">
      <alignment horizontal="right" vertical="center"/>
    </xf>
    <xf numFmtId="0" fontId="20" fillId="3" borderId="2" xfId="2" applyFont="1" applyFill="1" applyBorder="1" applyAlignment="1">
      <alignment horizontal="right" vertical="center"/>
    </xf>
    <xf numFmtId="3" fontId="20" fillId="0" borderId="2" xfId="2" applyNumberFormat="1" applyFont="1" applyBorder="1" applyAlignment="1">
      <alignment horizontal="right" vertical="center"/>
    </xf>
    <xf numFmtId="49" fontId="20" fillId="3" borderId="2" xfId="2" applyNumberFormat="1" applyFont="1" applyFill="1" applyBorder="1" applyAlignment="1">
      <alignment horizontal="left" vertical="center"/>
    </xf>
    <xf numFmtId="0" fontId="31" fillId="2" borderId="2" xfId="2" applyFont="1" applyFill="1" applyBorder="1" applyAlignment="1">
      <alignment vertical="center"/>
    </xf>
    <xf numFmtId="0" fontId="32" fillId="3" borderId="2" xfId="2" applyFont="1" applyFill="1" applyBorder="1" applyAlignment="1">
      <alignment horizontal="right" vertical="center"/>
    </xf>
    <xf numFmtId="49" fontId="32" fillId="3" borderId="2" xfId="2" applyNumberFormat="1" applyFont="1" applyFill="1" applyBorder="1" applyAlignment="1">
      <alignment horizontal="right" vertical="center"/>
    </xf>
    <xf numFmtId="49" fontId="14" fillId="3" borderId="2" xfId="2" applyNumberFormat="1" applyFont="1" applyFill="1" applyBorder="1" applyAlignment="1">
      <alignment horizontal="left" vertical="center"/>
    </xf>
    <xf numFmtId="3" fontId="32" fillId="3" borderId="2" xfId="2" applyNumberFormat="1" applyFont="1" applyFill="1" applyBorder="1" applyAlignment="1">
      <alignment horizontal="right" vertical="center" wrapText="1"/>
    </xf>
    <xf numFmtId="3" fontId="32" fillId="0" borderId="2" xfId="2" applyNumberFormat="1" applyFont="1" applyBorder="1" applyAlignment="1">
      <alignment horizontal="right" vertical="center"/>
    </xf>
    <xf numFmtId="3" fontId="32" fillId="0" borderId="0" xfId="2" applyNumberFormat="1" applyFont="1" applyAlignment="1">
      <alignment vertical="center"/>
    </xf>
    <xf numFmtId="0" fontId="33" fillId="0" borderId="0" xfId="2" applyFont="1" applyAlignment="1">
      <alignment vertical="center"/>
    </xf>
    <xf numFmtId="0" fontId="14" fillId="3" borderId="2" xfId="2" applyFont="1" applyFill="1" applyBorder="1" applyAlignment="1">
      <alignment horizontal="right" vertical="center"/>
    </xf>
    <xf numFmtId="49" fontId="20" fillId="5" borderId="2" xfId="2" applyNumberFormat="1" applyFont="1" applyFill="1" applyBorder="1" applyAlignment="1">
      <alignment vertical="center"/>
    </xf>
    <xf numFmtId="3" fontId="20" fillId="2" borderId="2" xfId="2" applyNumberFormat="1" applyFont="1" applyFill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3" fontId="14" fillId="3" borderId="2" xfId="2" applyNumberFormat="1" applyFont="1" applyFill="1" applyBorder="1" applyAlignment="1">
      <alignment vertical="center"/>
    </xf>
    <xf numFmtId="0" fontId="12" fillId="3" borderId="2" xfId="2" applyFont="1" applyFill="1" applyBorder="1" applyAlignment="1">
      <alignment horizontal="right" vertical="center"/>
    </xf>
    <xf numFmtId="0" fontId="11" fillId="3" borderId="2" xfId="2" applyFont="1" applyFill="1" applyBorder="1" applyAlignment="1">
      <alignment horizontal="right" vertical="center"/>
    </xf>
    <xf numFmtId="3" fontId="11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Alignment="1">
      <alignment vertical="center"/>
    </xf>
    <xf numFmtId="0" fontId="11" fillId="0" borderId="2" xfId="2" applyFont="1" applyBorder="1" applyAlignment="1">
      <alignment horizontal="right" vertical="center"/>
    </xf>
    <xf numFmtId="49" fontId="20" fillId="0" borderId="2" xfId="2" applyNumberFormat="1" applyFont="1" applyBorder="1" applyAlignment="1">
      <alignment horizontal="left" vertical="center"/>
    </xf>
    <xf numFmtId="3" fontId="14" fillId="9" borderId="2" xfId="2" applyNumberFormat="1" applyFont="1" applyFill="1" applyBorder="1" applyAlignment="1">
      <alignment horizontal="right" vertical="center"/>
    </xf>
    <xf numFmtId="3" fontId="23" fillId="2" borderId="0" xfId="2" applyNumberFormat="1" applyFont="1" applyFill="1" applyAlignment="1">
      <alignment vertical="center"/>
    </xf>
    <xf numFmtId="0" fontId="23" fillId="2" borderId="0" xfId="2" applyFont="1" applyFill="1" applyAlignment="1">
      <alignment vertical="center"/>
    </xf>
    <xf numFmtId="0" fontId="13" fillId="2" borderId="2" xfId="2" applyFont="1" applyFill="1" applyBorder="1" applyAlignment="1">
      <alignment vertical="center"/>
    </xf>
    <xf numFmtId="0" fontId="13" fillId="11" borderId="2" xfId="2" applyFont="1" applyFill="1" applyBorder="1" applyAlignment="1">
      <alignment horizontal="center" vertical="center"/>
    </xf>
    <xf numFmtId="49" fontId="13" fillId="11" borderId="2" xfId="2" applyNumberFormat="1" applyFont="1" applyFill="1" applyBorder="1" applyAlignment="1">
      <alignment horizontal="right" vertical="center"/>
    </xf>
    <xf numFmtId="49" fontId="14" fillId="11" borderId="2" xfId="2" applyNumberFormat="1" applyFont="1" applyFill="1" applyBorder="1" applyAlignment="1">
      <alignment vertical="center"/>
    </xf>
    <xf numFmtId="3" fontId="13" fillId="11" borderId="2" xfId="2" applyNumberFormat="1" applyFont="1" applyFill="1" applyBorder="1" applyAlignment="1">
      <alignment horizontal="right" vertical="center" wrapText="1"/>
    </xf>
    <xf numFmtId="3" fontId="12" fillId="10" borderId="2" xfId="2" applyNumberFormat="1" applyFont="1" applyFill="1" applyBorder="1" applyAlignment="1">
      <alignment horizontal="right" vertical="center"/>
    </xf>
    <xf numFmtId="3" fontId="13" fillId="2" borderId="0" xfId="2" applyNumberFormat="1" applyFont="1" applyFill="1" applyAlignment="1">
      <alignment vertical="center"/>
    </xf>
    <xf numFmtId="0" fontId="13" fillId="2" borderId="0" xfId="2" applyFont="1" applyFill="1" applyAlignment="1">
      <alignment vertical="center"/>
    </xf>
    <xf numFmtId="49" fontId="13" fillId="5" borderId="2" xfId="2" applyNumberFormat="1" applyFont="1" applyFill="1" applyBorder="1" applyAlignment="1">
      <alignment horizontal="right" vertical="center"/>
    </xf>
    <xf numFmtId="3" fontId="13" fillId="5" borderId="2" xfId="2" applyNumberFormat="1" applyFont="1" applyFill="1" applyBorder="1" applyAlignment="1">
      <alignment horizontal="right" vertical="center" wrapText="1"/>
    </xf>
    <xf numFmtId="3" fontId="20" fillId="5" borderId="2" xfId="2" applyNumberFormat="1" applyFont="1" applyFill="1" applyBorder="1" applyAlignment="1">
      <alignment horizontal="right" vertical="center" wrapText="1"/>
    </xf>
    <xf numFmtId="0" fontId="32" fillId="5" borderId="2" xfId="2" applyFont="1" applyFill="1" applyBorder="1" applyAlignment="1">
      <alignment horizontal="center" vertical="center"/>
    </xf>
    <xf numFmtId="3" fontId="14" fillId="5" borderId="2" xfId="2" applyNumberFormat="1" applyFont="1" applyFill="1" applyBorder="1" applyAlignment="1">
      <alignment horizontal="right" vertical="center" wrapText="1"/>
    </xf>
    <xf numFmtId="3" fontId="25" fillId="3" borderId="2" xfId="2" applyNumberFormat="1" applyFont="1" applyFill="1" applyBorder="1" applyAlignment="1">
      <alignment vertical="center"/>
    </xf>
    <xf numFmtId="3" fontId="20" fillId="2" borderId="0" xfId="2" applyNumberFormat="1" applyFont="1" applyFill="1" applyAlignment="1">
      <alignment vertical="center"/>
    </xf>
    <xf numFmtId="3" fontId="12" fillId="2" borderId="0" xfId="2" applyNumberFormat="1" applyFont="1" applyFill="1" applyAlignment="1">
      <alignment vertical="center"/>
    </xf>
    <xf numFmtId="0" fontId="18" fillId="2" borderId="0" xfId="2" applyFont="1" applyFill="1" applyAlignment="1">
      <alignment vertical="center"/>
    </xf>
    <xf numFmtId="0" fontId="33" fillId="0" borderId="2" xfId="2" applyFont="1" applyBorder="1" applyAlignment="1">
      <alignment vertical="center"/>
    </xf>
    <xf numFmtId="3" fontId="32" fillId="3" borderId="2" xfId="2" applyNumberFormat="1" applyFont="1" applyFill="1" applyBorder="1" applyAlignment="1">
      <alignment vertical="center"/>
    </xf>
    <xf numFmtId="3" fontId="31" fillId="0" borderId="2" xfId="2" applyNumberFormat="1" applyFont="1" applyBorder="1" applyAlignment="1">
      <alignment horizontal="right" vertical="center"/>
    </xf>
    <xf numFmtId="49" fontId="12" fillId="11" borderId="2" xfId="2" applyNumberFormat="1" applyFont="1" applyFill="1" applyBorder="1" applyAlignment="1">
      <alignment horizontal="right" vertical="center"/>
    </xf>
    <xf numFmtId="0" fontId="12" fillId="10" borderId="2" xfId="2" applyFont="1" applyFill="1" applyBorder="1" applyAlignment="1">
      <alignment vertical="center"/>
    </xf>
    <xf numFmtId="3" fontId="14" fillId="11" borderId="2" xfId="2" applyNumberFormat="1" applyFont="1" applyFill="1" applyBorder="1" applyAlignment="1">
      <alignment horizontal="right" vertical="center"/>
    </xf>
    <xf numFmtId="3" fontId="14" fillId="3" borderId="2" xfId="2" applyNumberFormat="1" applyFont="1" applyFill="1" applyBorder="1" applyAlignment="1">
      <alignment horizontal="right" vertical="center" wrapText="1"/>
    </xf>
    <xf numFmtId="0" fontId="20" fillId="2" borderId="2" xfId="2" applyFont="1" applyFill="1" applyBorder="1" applyAlignment="1">
      <alignment vertical="center"/>
    </xf>
    <xf numFmtId="0" fontId="26" fillId="2" borderId="0" xfId="2" applyFont="1" applyFill="1" applyAlignment="1">
      <alignment vertical="center"/>
    </xf>
    <xf numFmtId="0" fontId="26" fillId="0" borderId="2" xfId="2" applyFont="1" applyBorder="1" applyAlignment="1">
      <alignment vertical="center"/>
    </xf>
    <xf numFmtId="0" fontId="25" fillId="2" borderId="2" xfId="2" applyFont="1" applyFill="1" applyBorder="1" applyAlignment="1">
      <alignment vertical="center"/>
    </xf>
    <xf numFmtId="0" fontId="25" fillId="5" borderId="2" xfId="2" applyFont="1" applyFill="1" applyBorder="1" applyAlignment="1">
      <alignment horizontal="right" vertical="center"/>
    </xf>
    <xf numFmtId="0" fontId="12" fillId="2" borderId="0" xfId="2" applyFont="1" applyFill="1" applyAlignment="1">
      <alignment vertical="center"/>
    </xf>
    <xf numFmtId="49" fontId="34" fillId="3" borderId="2" xfId="2" applyNumberFormat="1" applyFont="1" applyFill="1" applyBorder="1" applyAlignment="1">
      <alignment horizontal="right" vertical="center"/>
    </xf>
    <xf numFmtId="3" fontId="34" fillId="3" borderId="2" xfId="2" applyNumberFormat="1" applyFont="1" applyFill="1" applyBorder="1" applyAlignment="1">
      <alignment horizontal="right" vertical="center" wrapText="1"/>
    </xf>
    <xf numFmtId="0" fontId="20" fillId="2" borderId="0" xfId="2" applyFont="1" applyFill="1" applyAlignment="1">
      <alignment vertical="center"/>
    </xf>
    <xf numFmtId="49" fontId="22" fillId="5" borderId="2" xfId="2" applyNumberFormat="1" applyFont="1" applyFill="1" applyBorder="1" applyAlignment="1">
      <alignment horizontal="right" vertical="center"/>
    </xf>
    <xf numFmtId="0" fontId="23" fillId="12" borderId="2" xfId="2" applyFont="1" applyFill="1" applyBorder="1" applyAlignment="1">
      <alignment horizontal="center" vertical="center"/>
    </xf>
    <xf numFmtId="49" fontId="23" fillId="12" borderId="2" xfId="2" applyNumberFormat="1" applyFont="1" applyFill="1" applyBorder="1" applyAlignment="1">
      <alignment horizontal="right" vertical="center"/>
    </xf>
    <xf numFmtId="49" fontId="24" fillId="12" borderId="2" xfId="2" applyNumberFormat="1" applyFont="1" applyFill="1" applyBorder="1" applyAlignment="1">
      <alignment vertical="center"/>
    </xf>
    <xf numFmtId="3" fontId="23" fillId="12" borderId="2" xfId="2" applyNumberFormat="1" applyFont="1" applyFill="1" applyBorder="1" applyAlignment="1">
      <alignment horizontal="right" vertical="center" wrapText="1"/>
    </xf>
    <xf numFmtId="3" fontId="13" fillId="12" borderId="2" xfId="2" applyNumberFormat="1" applyFont="1" applyFill="1" applyBorder="1" applyAlignment="1">
      <alignment horizontal="right" vertical="center" wrapText="1"/>
    </xf>
    <xf numFmtId="3" fontId="23" fillId="13" borderId="2" xfId="2" applyNumberFormat="1" applyFont="1" applyFill="1" applyBorder="1" applyAlignment="1">
      <alignment horizontal="right" vertical="center"/>
    </xf>
    <xf numFmtId="49" fontId="12" fillId="7" borderId="2" xfId="2" applyNumberFormat="1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right" vertical="center"/>
    </xf>
    <xf numFmtId="49" fontId="12" fillId="7" borderId="2" xfId="2" applyNumberFormat="1" applyFont="1" applyFill="1" applyBorder="1" applyAlignment="1">
      <alignment horizontal="right" vertical="center"/>
    </xf>
    <xf numFmtId="49" fontId="14" fillId="7" borderId="2" xfId="2" applyNumberFormat="1" applyFont="1" applyFill="1" applyBorder="1" applyAlignment="1">
      <alignment vertical="center"/>
    </xf>
    <xf numFmtId="3" fontId="12" fillId="7" borderId="2" xfId="2" applyNumberFormat="1" applyFont="1" applyFill="1" applyBorder="1" applyAlignment="1">
      <alignment horizontal="right" vertical="center"/>
    </xf>
    <xf numFmtId="3" fontId="11" fillId="8" borderId="2" xfId="2" applyNumberFormat="1" applyFont="1" applyFill="1" applyBorder="1" applyAlignment="1">
      <alignment horizontal="right" vertical="center"/>
    </xf>
    <xf numFmtId="49" fontId="12" fillId="5" borderId="2" xfId="2" applyNumberFormat="1" applyFont="1" applyFill="1" applyBorder="1" applyAlignment="1">
      <alignment horizontal="center" vertical="center"/>
    </xf>
    <xf numFmtId="49" fontId="20" fillId="5" borderId="2" xfId="2" applyNumberFormat="1" applyFont="1" applyFill="1" applyBorder="1" applyAlignment="1">
      <alignment horizontal="center" vertical="center"/>
    </xf>
    <xf numFmtId="3" fontId="13" fillId="2" borderId="2" xfId="2" applyNumberFormat="1" applyFont="1" applyFill="1" applyBorder="1" applyAlignment="1">
      <alignment horizontal="right" vertical="center"/>
    </xf>
    <xf numFmtId="3" fontId="23" fillId="2" borderId="2" xfId="2" applyNumberFormat="1" applyFont="1" applyFill="1" applyBorder="1" applyAlignment="1">
      <alignment horizontal="right" vertical="center"/>
    </xf>
    <xf numFmtId="3" fontId="32" fillId="2" borderId="2" xfId="2" applyNumberFormat="1" applyFont="1" applyFill="1" applyBorder="1" applyAlignment="1">
      <alignment horizontal="right" vertical="center"/>
    </xf>
    <xf numFmtId="3" fontId="31" fillId="2" borderId="2" xfId="2" applyNumberFormat="1" applyFont="1" applyFill="1" applyBorder="1" applyAlignment="1">
      <alignment horizontal="right" vertical="center"/>
    </xf>
    <xf numFmtId="3" fontId="20" fillId="0" borderId="0" xfId="2" applyNumberFormat="1" applyFont="1" applyAlignment="1">
      <alignment vertical="center"/>
    </xf>
    <xf numFmtId="49" fontId="25" fillId="5" borderId="2" xfId="2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vertical="center"/>
    </xf>
    <xf numFmtId="49" fontId="23" fillId="3" borderId="2" xfId="2" applyNumberFormat="1" applyFont="1" applyFill="1" applyBorder="1" applyAlignment="1">
      <alignment horizontal="right" vertical="center"/>
    </xf>
    <xf numFmtId="49" fontId="24" fillId="3" borderId="2" xfId="2" applyNumberFormat="1" applyFont="1" applyFill="1" applyBorder="1" applyAlignment="1">
      <alignment vertical="center"/>
    </xf>
    <xf numFmtId="3" fontId="23" fillId="3" borderId="2" xfId="2" applyNumberFormat="1" applyFont="1" applyFill="1" applyBorder="1" applyAlignment="1">
      <alignment horizontal="right" vertical="center"/>
    </xf>
    <xf numFmtId="49" fontId="11" fillId="5" borderId="2" xfId="2" applyNumberFormat="1" applyFont="1" applyFill="1" applyBorder="1" applyAlignment="1">
      <alignment horizontal="right" vertical="center"/>
    </xf>
    <xf numFmtId="3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2" fillId="0" borderId="0" xfId="1"/>
    <xf numFmtId="0" fontId="4" fillId="0" borderId="2" xfId="1" applyFont="1" applyBorder="1"/>
    <xf numFmtId="0" fontId="4" fillId="0" borderId="2" xfId="1" applyFont="1" applyBorder="1" applyAlignment="1">
      <alignment horizontal="left" wrapText="1"/>
    </xf>
    <xf numFmtId="0" fontId="2" fillId="0" borderId="0" xfId="1" applyAlignment="1">
      <alignment wrapText="1"/>
    </xf>
    <xf numFmtId="0" fontId="37" fillId="0" borderId="14" xfId="1" applyFont="1" applyBorder="1" applyAlignment="1"/>
    <xf numFmtId="0" fontId="37" fillId="0" borderId="15" xfId="1" applyFont="1" applyBorder="1" applyAlignment="1"/>
    <xf numFmtId="0" fontId="2" fillId="0" borderId="0" xfId="1" applyAlignment="1">
      <alignment horizontal="center"/>
    </xf>
    <xf numFmtId="4" fontId="2" fillId="0" borderId="0" xfId="1" applyNumberFormat="1" applyAlignment="1">
      <alignment horizontal="right"/>
    </xf>
    <xf numFmtId="3" fontId="2" fillId="0" borderId="0" xfId="1" applyNumberFormat="1" applyAlignment="1">
      <alignment horizontal="right"/>
    </xf>
    <xf numFmtId="0" fontId="38" fillId="14" borderId="16" xfId="1" applyFont="1" applyFill="1" applyBorder="1" applyAlignment="1">
      <alignment horizontal="center" vertical="center" wrapText="1"/>
    </xf>
    <xf numFmtId="4" fontId="40" fillId="14" borderId="18" xfId="7" quotePrefix="1" applyNumberFormat="1" applyFont="1" applyFill="1" applyBorder="1" applyAlignment="1">
      <alignment horizontal="center" vertical="center" wrapText="1"/>
    </xf>
    <xf numFmtId="3" fontId="40" fillId="14" borderId="18" xfId="7" quotePrefix="1" applyNumberFormat="1" applyFont="1" applyFill="1" applyBorder="1" applyAlignment="1">
      <alignment horizontal="center" vertical="center" wrapText="1"/>
    </xf>
    <xf numFmtId="0" fontId="40" fillId="14" borderId="18" xfId="7" quotePrefix="1" applyFont="1" applyFill="1" applyBorder="1" applyAlignment="1">
      <alignment horizontal="center" vertical="center" wrapText="1"/>
    </xf>
    <xf numFmtId="0" fontId="40" fillId="14" borderId="19" xfId="7" quotePrefix="1" applyFont="1" applyFill="1" applyBorder="1" applyAlignment="1">
      <alignment horizontal="center" vertical="center" wrapText="1"/>
    </xf>
    <xf numFmtId="0" fontId="38" fillId="0" borderId="2" xfId="1" applyFont="1" applyBorder="1" applyAlignment="1">
      <alignment horizontal="center" vertical="center" wrapText="1"/>
    </xf>
    <xf numFmtId="3" fontId="2" fillId="0" borderId="0" xfId="1" applyNumberFormat="1"/>
    <xf numFmtId="0" fontId="3" fillId="0" borderId="0" xfId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0" fontId="41" fillId="10" borderId="2" xfId="1" applyFont="1" applyFill="1" applyBorder="1"/>
    <xf numFmtId="0" fontId="41" fillId="10" borderId="2" xfId="1" applyFont="1" applyFill="1" applyBorder="1" applyAlignment="1">
      <alignment wrapText="1"/>
    </xf>
    <xf numFmtId="0" fontId="41" fillId="2" borderId="2" xfId="1" applyFont="1" applyFill="1" applyBorder="1" applyAlignment="1">
      <alignment horizontal="center"/>
    </xf>
    <xf numFmtId="4" fontId="42" fillId="2" borderId="2" xfId="1" applyNumberFormat="1" applyFont="1" applyFill="1" applyBorder="1" applyAlignment="1">
      <alignment horizontal="right"/>
    </xf>
    <xf numFmtId="3" fontId="42" fillId="2" borderId="2" xfId="1" applyNumberFormat="1" applyFont="1" applyFill="1" applyBorder="1" applyAlignment="1">
      <alignment horizontal="right"/>
    </xf>
    <xf numFmtId="165" fontId="42" fillId="2" borderId="2" xfId="1" applyNumberFormat="1" applyFont="1" applyFill="1" applyBorder="1" applyAlignment="1">
      <alignment horizontal="center"/>
    </xf>
    <xf numFmtId="4" fontId="2" fillId="0" borderId="0" xfId="1" applyNumberFormat="1"/>
    <xf numFmtId="0" fontId="41" fillId="2" borderId="0" xfId="1" applyFont="1" applyFill="1" applyBorder="1"/>
    <xf numFmtId="0" fontId="41" fillId="2" borderId="0" xfId="1" applyFont="1" applyFill="1" applyBorder="1" applyAlignment="1">
      <alignment wrapText="1"/>
    </xf>
    <xf numFmtId="0" fontId="41" fillId="10" borderId="6" xfId="1" applyFont="1" applyFill="1" applyBorder="1"/>
    <xf numFmtId="0" fontId="4" fillId="0" borderId="0" xfId="1" applyFont="1"/>
    <xf numFmtId="0" fontId="4" fillId="0" borderId="0" xfId="1" applyFont="1" applyAlignment="1">
      <alignment wrapText="1"/>
    </xf>
    <xf numFmtId="0" fontId="1" fillId="0" borderId="0" xfId="8" applyProtection="1"/>
    <xf numFmtId="4" fontId="1" fillId="0" borderId="0" xfId="8" applyNumberFormat="1" applyProtection="1"/>
    <xf numFmtId="0" fontId="43" fillId="2" borderId="11" xfId="9" quotePrefix="1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1" xfId="6" applyNumberFormat="1" applyFont="1" applyFill="1" applyProtection="1">
      <alignment horizontal="right" vertical="center"/>
      <protection locked="0"/>
    </xf>
    <xf numFmtId="14" fontId="29" fillId="0" borderId="11" xfId="6" applyNumberFormat="1" applyFont="1" applyFill="1" applyProtection="1">
      <alignment horizontal="right" vertical="center"/>
      <protection locked="0"/>
    </xf>
    <xf numFmtId="0" fontId="29" fillId="17" borderId="11" xfId="9" quotePrefix="1" applyNumberFormat="1" applyFont="1" applyFill="1" applyProtection="1">
      <alignment horizontal="left" vertical="center" indent="1" justifyLastLine="1"/>
    </xf>
    <xf numFmtId="0" fontId="29" fillId="0" borderId="11" xfId="6" applyNumberFormat="1" applyFont="1" applyFill="1" applyAlignment="1" applyProtection="1">
      <alignment horizontal="center" vertical="center"/>
      <protection locked="0"/>
    </xf>
    <xf numFmtId="0" fontId="29" fillId="0" borderId="11" xfId="9" quotePrefix="1" applyNumberFormat="1" applyFont="1" applyFill="1" applyAlignment="1" applyProtection="1">
      <alignment horizontal="center" vertical="center" justifyLastLine="1"/>
      <protection locked="0"/>
    </xf>
    <xf numFmtId="0" fontId="29" fillId="0" borderId="11" xfId="6" applyNumberFormat="1" applyFont="1" applyFill="1" applyAlignment="1" applyProtection="1">
      <alignment horizontal="left" vertical="center"/>
      <protection locked="0"/>
    </xf>
    <xf numFmtId="0" fontId="44" fillId="0" borderId="11" xfId="9" quotePrefix="1" applyNumberFormat="1" applyFont="1" applyFill="1" applyAlignment="1" applyProtection="1">
      <alignment horizontal="center" vertical="center" justifyLastLine="1"/>
      <protection locked="0"/>
    </xf>
    <xf numFmtId="0" fontId="1" fillId="0" borderId="0" xfId="8" applyFill="1" applyBorder="1" applyProtection="1"/>
    <xf numFmtId="0" fontId="1" fillId="0" borderId="0" xfId="8" applyFont="1" applyProtection="1"/>
    <xf numFmtId="0" fontId="45" fillId="0" borderId="2" xfId="5" applyFont="1" applyFill="1" applyBorder="1" applyAlignment="1" applyProtection="1">
      <alignment horizontal="left" vertical="center"/>
    </xf>
    <xf numFmtId="0" fontId="46" fillId="18" borderId="0" xfId="8" applyFont="1" applyFill="1"/>
    <xf numFmtId="0" fontId="26" fillId="18" borderId="0" xfId="8" applyFont="1" applyFill="1"/>
    <xf numFmtId="0" fontId="1" fillId="18" borderId="0" xfId="8" applyFill="1"/>
    <xf numFmtId="0" fontId="26" fillId="0" borderId="0" xfId="8" applyFont="1" applyFill="1"/>
    <xf numFmtId="0" fontId="1" fillId="0" borderId="0" xfId="8" applyFill="1"/>
    <xf numFmtId="0" fontId="1" fillId="0" borderId="0" xfId="8"/>
    <xf numFmtId="0" fontId="42" fillId="0" borderId="0" xfId="8" applyFont="1" applyProtection="1"/>
    <xf numFmtId="0" fontId="42" fillId="2" borderId="0" xfId="8" applyFont="1" applyFill="1" applyProtection="1"/>
    <xf numFmtId="4" fontId="47" fillId="19" borderId="0" xfId="9" applyNumberFormat="1" applyFont="1" applyFill="1" applyBorder="1" applyAlignment="1" applyProtection="1">
      <alignment horizontal="center" vertical="center" wrapText="1" justifyLastLine="1"/>
    </xf>
    <xf numFmtId="4" fontId="47" fillId="19" borderId="25" xfId="9" applyNumberFormat="1" applyFont="1" applyFill="1" applyBorder="1" applyAlignment="1" applyProtection="1">
      <alignment horizontal="center" vertical="center" wrapText="1" justifyLastLine="1"/>
    </xf>
    <xf numFmtId="0" fontId="49" fillId="20" borderId="0" xfId="10" applyFont="1" applyFill="1" applyBorder="1" applyAlignment="1" applyProtection="1">
      <alignment horizontal="center" vertical="center" wrapText="1"/>
    </xf>
    <xf numFmtId="0" fontId="49" fillId="20" borderId="11" xfId="10" applyFont="1" applyFill="1" applyBorder="1" applyAlignment="1" applyProtection="1">
      <alignment horizontal="center" vertical="center" wrapText="1"/>
    </xf>
    <xf numFmtId="0" fontId="50" fillId="21" borderId="26" xfId="10" applyFont="1" applyFill="1" applyBorder="1" applyAlignment="1" applyProtection="1">
      <alignment horizontal="center" vertical="center" wrapText="1"/>
    </xf>
    <xf numFmtId="0" fontId="47" fillId="19" borderId="0" xfId="11" quotePrefix="1" applyNumberFormat="1" applyFont="1" applyFill="1" applyBorder="1" applyProtection="1">
      <alignment horizontal="left" vertical="center" indent="1" justifyLastLine="1"/>
    </xf>
    <xf numFmtId="0" fontId="47" fillId="19" borderId="11" xfId="11" quotePrefix="1" applyNumberFormat="1" applyFont="1" applyFill="1" applyBorder="1" applyProtection="1">
      <alignment horizontal="left" vertical="center" indent="1" justifyLastLine="1"/>
    </xf>
    <xf numFmtId="3" fontId="51" fillId="19" borderId="11" xfId="9" quotePrefix="1" applyNumberFormat="1" applyFont="1" applyFill="1" applyBorder="1" applyAlignment="1">
      <alignment horizontal="center" vertical="center" wrapText="1" justifyLastLine="1"/>
    </xf>
    <xf numFmtId="0" fontId="1" fillId="0" borderId="0" xfId="8" applyAlignment="1">
      <alignment horizontal="right"/>
    </xf>
    <xf numFmtId="0" fontId="24" fillId="0" borderId="0" xfId="8" applyFont="1" applyAlignment="1">
      <alignment vertical="top"/>
    </xf>
    <xf numFmtId="0" fontId="29" fillId="0" borderId="11" xfId="6" applyNumberFormat="1" applyFont="1" applyFill="1" applyAlignment="1" applyProtection="1">
      <alignment horizontal="right" vertical="center" wrapText="1"/>
      <protection locked="0"/>
    </xf>
    <xf numFmtId="0" fontId="12" fillId="0" borderId="6" xfId="2" quotePrefix="1" applyFont="1" applyBorder="1" applyAlignment="1">
      <alignment horizontal="left" vertical="center" wrapText="1"/>
    </xf>
    <xf numFmtId="0" fontId="11" fillId="0" borderId="7" xfId="2" applyFont="1" applyBorder="1" applyAlignment="1">
      <alignment vertical="center" wrapText="1"/>
    </xf>
    <xf numFmtId="0" fontId="5" fillId="4" borderId="1" xfId="2" applyFont="1" applyFill="1" applyBorder="1" applyAlignment="1">
      <alignment vertical="center"/>
    </xf>
    <xf numFmtId="0" fontId="7" fillId="3" borderId="1" xfId="2" applyFont="1" applyFill="1" applyBorder="1" applyAlignment="1">
      <alignment vertical="center" wrapText="1"/>
    </xf>
    <xf numFmtId="0" fontId="7" fillId="3" borderId="1" xfId="2" applyFont="1" applyFill="1" applyBorder="1" applyAlignment="1">
      <alignment vertical="center"/>
    </xf>
    <xf numFmtId="0" fontId="9" fillId="4" borderId="3" xfId="2" applyFont="1" applyFill="1" applyBorder="1" applyAlignment="1">
      <alignment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1" fillId="0" borderId="6" xfId="2" quotePrefix="1" applyFont="1" applyBorder="1" applyAlignment="1">
      <alignment horizontal="left" vertical="center" wrapText="1"/>
    </xf>
    <xf numFmtId="0" fontId="11" fillId="0" borderId="7" xfId="2" quotePrefix="1" applyFont="1" applyBorder="1" applyAlignment="1">
      <alignment horizontal="left" vertical="center" wrapText="1"/>
    </xf>
    <xf numFmtId="0" fontId="11" fillId="0" borderId="8" xfId="2" quotePrefix="1" applyFont="1" applyBorder="1" applyAlignment="1">
      <alignment horizontal="left" vertical="center" wrapText="1"/>
    </xf>
    <xf numFmtId="0" fontId="13" fillId="6" borderId="6" xfId="2" quotePrefix="1" applyFont="1" applyFill="1" applyBorder="1" applyAlignment="1">
      <alignment horizontal="left" vertical="center" wrapText="1"/>
    </xf>
    <xf numFmtId="0" fontId="13" fillId="6" borderId="7" xfId="2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vertical="center" wrapText="1"/>
    </xf>
    <xf numFmtId="0" fontId="16" fillId="5" borderId="2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3" fontId="12" fillId="3" borderId="2" xfId="2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3" fontId="5" fillId="5" borderId="0" xfId="2" applyNumberFormat="1" applyFont="1" applyFill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3" fontId="13" fillId="3" borderId="2" xfId="2" applyNumberFormat="1" applyFont="1" applyFill="1" applyBorder="1" applyAlignment="1">
      <alignment horizontal="center" vertical="center"/>
    </xf>
    <xf numFmtId="3" fontId="5" fillId="5" borderId="2" xfId="2" applyNumberFormat="1" applyFont="1" applyFill="1" applyBorder="1" applyAlignment="1">
      <alignment horizontal="center" vertical="center" wrapText="1"/>
    </xf>
    <xf numFmtId="4" fontId="41" fillId="2" borderId="0" xfId="1" applyNumberFormat="1" applyFont="1" applyFill="1" applyBorder="1" applyAlignment="1">
      <alignment horizontal="center"/>
    </xf>
    <xf numFmtId="0" fontId="41" fillId="2" borderId="0" xfId="1" applyFont="1" applyFill="1" applyBorder="1" applyAlignment="1">
      <alignment horizontal="center"/>
    </xf>
    <xf numFmtId="0" fontId="41" fillId="2" borderId="20" xfId="1" applyFont="1" applyFill="1" applyBorder="1" applyAlignment="1">
      <alignment horizontal="center"/>
    </xf>
    <xf numFmtId="0" fontId="41" fillId="2" borderId="21" xfId="1" applyFont="1" applyFill="1" applyBorder="1" applyAlignment="1">
      <alignment horizontal="center"/>
    </xf>
    <xf numFmtId="0" fontId="41" fillId="2" borderId="24" xfId="1" applyFont="1" applyFill="1" applyBorder="1" applyAlignment="1">
      <alignment horizontal="center"/>
    </xf>
    <xf numFmtId="0" fontId="41" fillId="2" borderId="22" xfId="1" applyFont="1" applyFill="1" applyBorder="1" applyAlignment="1">
      <alignment horizontal="center"/>
    </xf>
    <xf numFmtId="0" fontId="41" fillId="2" borderId="23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2" fillId="0" borderId="13" xfId="1" applyBorder="1" applyAlignment="1">
      <alignment horizontal="center"/>
    </xf>
    <xf numFmtId="0" fontId="37" fillId="0" borderId="14" xfId="1" applyFont="1" applyBorder="1" applyAlignment="1">
      <alignment horizontal="center"/>
    </xf>
    <xf numFmtId="0" fontId="37" fillId="0" borderId="15" xfId="1" applyFont="1" applyBorder="1" applyAlignment="1">
      <alignment horizontal="center"/>
    </xf>
    <xf numFmtId="0" fontId="41" fillId="2" borderId="20" xfId="1" applyFont="1" applyFill="1" applyBorder="1" applyAlignment="1">
      <alignment horizontal="center" wrapText="1"/>
    </xf>
    <xf numFmtId="0" fontId="41" fillId="2" borderId="21" xfId="1" applyFont="1" applyFill="1" applyBorder="1" applyAlignment="1">
      <alignment horizontal="center" wrapText="1"/>
    </xf>
    <xf numFmtId="0" fontId="41" fillId="2" borderId="22" xfId="1" applyFont="1" applyFill="1" applyBorder="1" applyAlignment="1">
      <alignment horizontal="center" wrapText="1"/>
    </xf>
    <xf numFmtId="0" fontId="41" fillId="2" borderId="23" xfId="1" applyFont="1" applyFill="1" applyBorder="1" applyAlignment="1">
      <alignment horizontal="center" wrapText="1"/>
    </xf>
    <xf numFmtId="4" fontId="41" fillId="2" borderId="20" xfId="1" applyNumberFormat="1" applyFont="1" applyFill="1" applyBorder="1" applyAlignment="1">
      <alignment horizontal="center" wrapText="1"/>
    </xf>
    <xf numFmtId="0" fontId="41" fillId="2" borderId="0" xfId="1" applyFont="1" applyFill="1" applyBorder="1" applyAlignment="1">
      <alignment horizontal="center" wrapText="1"/>
    </xf>
    <xf numFmtId="0" fontId="41" fillId="2" borderId="24" xfId="1" applyFont="1" applyFill="1" applyBorder="1" applyAlignment="1">
      <alignment horizontal="center" wrapText="1"/>
    </xf>
    <xf numFmtId="0" fontId="52" fillId="0" borderId="0" xfId="8" applyFont="1" applyBorder="1" applyProtection="1"/>
  </cellXfs>
  <cellStyles count="12">
    <cellStyle name="Normal 6" xfId="10" xr:uid="{61E55E38-C888-4144-89AB-4DC5CDF2E31C}"/>
    <cellStyle name="Normalno" xfId="0" builtinId="0"/>
    <cellStyle name="Normalno 2" xfId="1" xr:uid="{9B062C50-ECD4-4691-8D59-B7B3E07207ED}"/>
    <cellStyle name="Normalno 3" xfId="2" xr:uid="{DBB2D062-288C-41CC-86CF-7A89888DB189}"/>
    <cellStyle name="Normalno 4" xfId="8" xr:uid="{B324DE38-179F-4FC4-9F8B-4E387C99D2E4}"/>
    <cellStyle name="Obično_List4" xfId="5" xr:uid="{29DBE985-72E9-48C8-8DB1-B94117885AF5}"/>
    <cellStyle name="Obično_List7" xfId="3" xr:uid="{3336BAD5-C89A-435D-A603-6901BEA90498}"/>
    <cellStyle name="Obično_List8" xfId="4" xr:uid="{AF5BEDEF-8A76-4C9B-BEA9-8479AEC85225}"/>
    <cellStyle name="SAPBEXchaText" xfId="11" xr:uid="{F824F073-027E-47A6-917B-258F668D3085}"/>
    <cellStyle name="SAPBEXstdData" xfId="6" xr:uid="{4F37A08E-9DDB-49D1-A8B4-BE6BC0011660}"/>
    <cellStyle name="SAPBEXstdItem" xfId="7" xr:uid="{BC83C43F-5383-4E4E-84E4-6BFF81893A4D}"/>
    <cellStyle name="SAPBEXstdItem 2" xfId="9" xr:uid="{46E081E5-58E1-4B67-9214-C1A6AB2F495E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Polugodi&#353;nje%20izvr&#353;enje%20fin.%20plana%202023/Mirela%20Zagorac/Predaja/R+O%20Polugodi&#353;nje%20izvr&#353;enje%20fin.%20plan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Polugodi&#353;nje%20izvr&#353;enje%20fin.%20plana%202023/Mirela%20Zagorac/OP&#262;I%20DIO%20IZVR&#352;ENJE%20FP_I-VI%202023_predlo&#382;ak%20mz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stari%20desktop/FIN%20PLAN/R+O%20KONA&#268;AN%20PLAN%202023/R+O%20Privitak%201%20-%20Prijedlog%20financijskog%20plana_202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RAČUN PRIHODA I RASHODA"/>
      <sheetName val="Rashodi -funkcijska"/>
      <sheetName val="Račun financiranja"/>
      <sheetName val="POSEBNI_DIO_"/>
      <sheetName val="KONTROLNA TABLICA"/>
    </sheetNames>
    <sheetDataSet>
      <sheetData sheetId="0"/>
      <sheetData sheetId="1">
        <row r="495">
          <cell r="G495">
            <v>6858298.5799999991</v>
          </cell>
        </row>
        <row r="497">
          <cell r="G497">
            <v>132656.16999999998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A.1 PRIHODI"/>
      <sheetName val="A.2 RASHODI"/>
      <sheetName val="A.3 RASHODI IF"/>
      <sheetName val="A.4 RASHODI FUNK"/>
      <sheetName val="B. RAČUN FIN"/>
      <sheetName val="AKT"/>
      <sheetName val="p4"/>
      <sheetName val="prihodi"/>
      <sheetName val="KORISNICI DP"/>
    </sheetNames>
    <sheetDataSet>
      <sheetData sheetId="0">
        <row r="3">
          <cell r="A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A557041</v>
          </cell>
          <cell r="D4" t="str">
            <v>PREUZIMANJE OBVEZA ZA PROJEKTE JAVNO PRIVATNOG PARTNERSTVA U VARAŽDINSKOJ I KOPRIVNIČKO-KRIŽEVAČKOJ ŽUPANIJI</v>
          </cell>
          <cell r="E4" t="str">
            <v>0912</v>
          </cell>
        </row>
        <row r="5">
          <cell r="C5" t="str">
            <v>A557042</v>
          </cell>
          <cell r="D5" t="str">
            <v>PROGRAM DOKTORANADA I POSLIJEDOKTORANADA HRVATSKE ZAKLADE ZA ZNANOST</v>
          </cell>
          <cell r="E5" t="str">
            <v>0150</v>
          </cell>
        </row>
        <row r="6">
          <cell r="C6" t="str">
            <v>A557043</v>
          </cell>
          <cell r="D6" t="str">
            <v>NACIONALNO VIJEĆE ZA ODGOJ I OBRAZOVANJE</v>
          </cell>
          <cell r="E6" t="str">
            <v>0970</v>
          </cell>
        </row>
        <row r="7">
          <cell r="C7" t="str">
            <v>A577000</v>
          </cell>
          <cell r="D7" t="str">
            <v>ADMINISTRACIJA I UPRAVLJANJE</v>
          </cell>
          <cell r="E7" t="str">
            <v>0970</v>
          </cell>
        </row>
        <row r="8">
          <cell r="C8" t="str">
            <v>A577000</v>
          </cell>
          <cell r="D8" t="str">
            <v>ADMINISTRACIJA I UPRAVLJANJE</v>
          </cell>
          <cell r="E8" t="str">
            <v>0980</v>
          </cell>
        </row>
        <row r="9">
          <cell r="C9" t="str">
            <v>A577004</v>
          </cell>
          <cell r="D9" t="str">
            <v>PROVEDBA KURIKULARNE REFORME</v>
          </cell>
          <cell r="E9" t="str">
            <v>0970</v>
          </cell>
        </row>
        <row r="10">
          <cell r="C10" t="str">
            <v>A577012</v>
          </cell>
          <cell r="D10" t="str">
            <v>OBRAZOVANJE DJECE HRVATSKIH GRAĐANA U INOZEMSTVU</v>
          </cell>
          <cell r="E10" t="str">
            <v>0970</v>
          </cell>
        </row>
        <row r="11">
          <cell r="C11" t="str">
            <v>A577015</v>
          </cell>
          <cell r="D11" t="str">
            <v>DRŽAVNE NAGRADE ZA IZUZETNE REZULTATE U OBRAZOVANJU I TEHNIČKOJ KULTURI</v>
          </cell>
          <cell r="E11" t="str">
            <v>0942</v>
          </cell>
        </row>
        <row r="12">
          <cell r="C12" t="str">
            <v>A577016</v>
          </cell>
          <cell r="D12" t="str">
            <v>PREVENCIJA NASILJA I OVISNOSTI</v>
          </cell>
          <cell r="E12" t="str">
            <v>0912</v>
          </cell>
        </row>
        <row r="13">
          <cell r="C13" t="str">
            <v>A577028</v>
          </cell>
          <cell r="D13" t="str">
            <v>POTICAJI HRVATSKOJ ZAJEDNICI TEHNIČKE KULTURE</v>
          </cell>
          <cell r="E13" t="str">
            <v>0820</v>
          </cell>
        </row>
        <row r="14">
          <cell r="C14" t="str">
            <v>A577124</v>
          </cell>
          <cell r="D14" t="str">
            <v>HRVATSKA NASTAVA U INOZEMSTVU</v>
          </cell>
          <cell r="E14" t="str">
            <v>0970</v>
          </cell>
        </row>
        <row r="15">
          <cell r="C15" t="str">
            <v>A577130</v>
          </cell>
          <cell r="D15" t="str">
            <v>POTICAJI UDRUGAMA ZA IZVANINSTITUCIONALNI ODGOJ I OBRAZOVANJE DJECE I MLADIH</v>
          </cell>
          <cell r="E15" t="str">
            <v>0970</v>
          </cell>
        </row>
        <row r="16">
          <cell r="C16" t="str">
            <v>A577131</v>
          </cell>
          <cell r="D16" t="str">
            <v>POTICAJI OBRAZOVANJA NACIONALNIH MANJINA</v>
          </cell>
          <cell r="E16" t="str">
            <v>0970</v>
          </cell>
        </row>
        <row r="17">
          <cell r="C17" t="str">
            <v>A577132</v>
          </cell>
          <cell r="D17" t="str">
            <v>POTICANJE MEĐUNARODNE OBRAZOVNE SURADNJE ŠKOLA</v>
          </cell>
          <cell r="E17" t="str">
            <v>0970</v>
          </cell>
        </row>
        <row r="18">
          <cell r="C18" t="str">
            <v>A577133</v>
          </cell>
          <cell r="D18" t="str">
            <v>POTICANJE PROGRAMA RADA S DAROVITIM UČENICIMA I STUDENTIMA</v>
          </cell>
          <cell r="E18" t="str">
            <v>0912</v>
          </cell>
        </row>
        <row r="19">
          <cell r="C19" t="str">
            <v>A577137</v>
          </cell>
          <cell r="D19" t="str">
            <v>POSEBNI PROGRAMI OBRAZOVANJA ZA PROVOĐENJE PROGRAMA NACIONALNIH MANJINA</v>
          </cell>
          <cell r="E19" t="str">
            <v>0970</v>
          </cell>
        </row>
        <row r="20">
          <cell r="C20" t="str">
            <v>A577143</v>
          </cell>
          <cell r="D20" t="str">
            <v>RAZVOJ I ODRŽAVANJE INFORMACIJSKE INFRASTRUKTURE MINISTARSTVA</v>
          </cell>
          <cell r="E20" t="str">
            <v>0980</v>
          </cell>
        </row>
        <row r="21">
          <cell r="C21" t="str">
            <v>A578003</v>
          </cell>
          <cell r="D21" t="str">
            <v>ODGOJ I NAOBRAZBA DJECE PRIPADNIKA NACIONALNIH MANJINA</v>
          </cell>
          <cell r="E21" t="str">
            <v>0911</v>
          </cell>
        </row>
        <row r="22">
          <cell r="C22" t="str">
            <v>A578004</v>
          </cell>
          <cell r="D22" t="str">
            <v>PREDŠKOLSKI ODGOJ I OBRAZOVANJE DJECE S TEŠKOĆAMA U RAZVOJU (SUFINANCIRANJE)</v>
          </cell>
          <cell r="E22" t="str">
            <v>0911</v>
          </cell>
        </row>
        <row r="23">
          <cell r="C23" t="str">
            <v>A578008</v>
          </cell>
          <cell r="D23" t="str">
            <v>ODGOJ I NAOBRAZBA DJECE U PROGRAMIMA PREDŠKOLE</v>
          </cell>
          <cell r="E23" t="str">
            <v>0911</v>
          </cell>
        </row>
        <row r="24">
          <cell r="C24" t="str">
            <v>A578009</v>
          </cell>
          <cell r="D24" t="str">
            <v>ODGOJ I OBRAZOVANJE DAROVITE DJECE PREDŠKOLSKE DOBI U DJEČJIM VRTIĆIMA</v>
          </cell>
          <cell r="E24" t="str">
            <v>0911</v>
          </cell>
        </row>
        <row r="25">
          <cell r="C25" t="str">
            <v>A578041</v>
          </cell>
          <cell r="D25" t="str">
            <v>POMOĆNICI U NASTAVI ZA DJECU S TEŠKOĆAMA U RAZVOJU</v>
          </cell>
          <cell r="E25" t="str">
            <v>0970</v>
          </cell>
        </row>
        <row r="26">
          <cell r="C26" t="str">
            <v>A578042</v>
          </cell>
          <cell r="D26" t="str">
            <v>OSIGURANJE UČENIKA I STUDENATA NA PRAKTIČNOJ NASTAVI I STRUČNOJ PRAKSI</v>
          </cell>
          <cell r="E26" t="str">
            <v>0980</v>
          </cell>
        </row>
        <row r="27">
          <cell r="C27" t="str">
            <v>A578045</v>
          </cell>
          <cell r="D27" t="str">
            <v>SUFINANCIRANJE NASTAVNIH MATERIJALA I OPREME ZA UČENIKE OSNOVNIH I SREDNJIH ŠKOLA</v>
          </cell>
          <cell r="E27" t="str">
            <v>0970</v>
          </cell>
        </row>
        <row r="28">
          <cell r="C28" t="str">
            <v>A578050</v>
          </cell>
          <cell r="D28" t="str">
            <v>POTPORA INOVACIJSKIM PROCESIMA</v>
          </cell>
          <cell r="E28" t="str">
            <v>0150</v>
          </cell>
        </row>
        <row r="29">
          <cell r="C29" t="str">
            <v>A578055</v>
          </cell>
          <cell r="D29" t="str">
            <v>HRVATSKO-ŠVICARSKI ISTRAŽIVAČKI PROGRAM</v>
          </cell>
          <cell r="E29" t="str">
            <v>0150</v>
          </cell>
        </row>
        <row r="30">
          <cell r="C30" t="str">
            <v>A578059</v>
          </cell>
          <cell r="D30" t="str">
            <v>EUROPSKA MREŽA ŠKOLA - EUROPEAN SCHOOLNET</v>
          </cell>
          <cell r="E30" t="str">
            <v>0970</v>
          </cell>
        </row>
        <row r="31">
          <cell r="C31" t="str">
            <v>A578061</v>
          </cell>
          <cell r="D31" t="str">
            <v>OBZOR 2020. - PROGRAM POTICANJA ISTRAŽIVANJA I RAZVOJA U PERSONALIZIRANOJ MEDICINI – ERA PERMED</v>
          </cell>
          <cell r="E31" t="str">
            <v>0150</v>
          </cell>
        </row>
        <row r="32">
          <cell r="C32" t="str">
            <v>A578062</v>
          </cell>
          <cell r="D32" t="str">
            <v>ERASMUS+ SOCIJALNA I MEĐUNARODNA DIMENZIJA OBRAZOVANJA I PRIZNAVANJA PRETHODNOG UČENJA - SIDERAL</v>
          </cell>
          <cell r="E32" t="str">
            <v>0970</v>
          </cell>
        </row>
        <row r="33">
          <cell r="C33" t="str">
            <v>A578065</v>
          </cell>
          <cell r="D33" t="str">
            <v>ERASMUS+ PROJEKT BAQUAL - BOLJE AKADEMSKE KVALIFIKACIJE KROZ OSIGURAVANJE KVALITETE</v>
          </cell>
          <cell r="E33" t="str">
            <v>0970</v>
          </cell>
        </row>
        <row r="34">
          <cell r="C34" t="str">
            <v>A578066</v>
          </cell>
          <cell r="D34" t="str">
            <v>ERASMUS PLUS - PROJEKT PROFFORMANCE - RAZVOJ SUSTAVA OCJENJIVANJA RADA I NAGRAĐIVANJA PROFESORA NA VISOKIM UČILIŠTIMA</v>
          </cell>
          <cell r="E34" t="str">
            <v>0970</v>
          </cell>
        </row>
        <row r="35">
          <cell r="C35" t="str">
            <v>A579000</v>
          </cell>
          <cell r="D35" t="str">
            <v>OSNOVNOŠKOLSKO OBRAZOVANJE</v>
          </cell>
          <cell r="E35" t="str">
            <v>0180</v>
          </cell>
        </row>
        <row r="36">
          <cell r="C36" t="str">
            <v>A579000</v>
          </cell>
          <cell r="D36" t="str">
            <v>OSNOVNOŠKOLSKO OBRAZOVANJE</v>
          </cell>
          <cell r="E36" t="str">
            <v>0912</v>
          </cell>
        </row>
        <row r="37">
          <cell r="C37" t="str">
            <v>A579003</v>
          </cell>
          <cell r="D37" t="str">
            <v>ODGOJ I NAOBRAZBA UČENIKA S TEŠKOĆAMA U RAZVOJU U OSNOVNIM ŠKOLAMA</v>
          </cell>
          <cell r="E37" t="str">
            <v>0912</v>
          </cell>
        </row>
        <row r="38">
          <cell r="C38" t="str">
            <v>A579004</v>
          </cell>
          <cell r="D38" t="str">
            <v>POTICANJE IZVANNASTAVNIH AKTIVNOSTI U OŠ</v>
          </cell>
          <cell r="E38" t="str">
            <v>0970</v>
          </cell>
        </row>
        <row r="39">
          <cell r="C39" t="str">
            <v>A579007</v>
          </cell>
          <cell r="D39" t="str">
            <v>PRAVOMOĆNE SUDSKE PRESUDE</v>
          </cell>
          <cell r="E39" t="str">
            <v>0180</v>
          </cell>
        </row>
        <row r="40">
          <cell r="C40" t="str">
            <v>A579007</v>
          </cell>
          <cell r="D40" t="str">
            <v>PRAVOMOĆNE SUDSKE PRESUDE</v>
          </cell>
          <cell r="E40" t="str">
            <v>0912</v>
          </cell>
        </row>
        <row r="41">
          <cell r="C41" t="str">
            <v>A579069</v>
          </cell>
          <cell r="D41" t="str">
            <v>RAZVOJ PREDŠKOLSKOG I OSNOVNOŠKOLSKOG SUSTAVA ODGOJA I OBRAZOVANJA</v>
          </cell>
          <cell r="E41" t="str">
            <v>0912</v>
          </cell>
        </row>
        <row r="42">
          <cell r="C42" t="str">
            <v>A580000</v>
          </cell>
          <cell r="D42" t="str">
            <v>SREDNJOŠKOLSKO OBRAZOVANJE</v>
          </cell>
          <cell r="E42" t="str">
            <v>0180</v>
          </cell>
        </row>
        <row r="43">
          <cell r="C43" t="str">
            <v>A580000</v>
          </cell>
          <cell r="D43" t="str">
            <v>SREDNJOŠKOLSKO OBRAZOVANJE</v>
          </cell>
          <cell r="E43" t="str">
            <v>0922</v>
          </cell>
        </row>
        <row r="44">
          <cell r="C44" t="str">
            <v>A580003</v>
          </cell>
          <cell r="D44" t="str">
            <v>POTICANJE IZVANNASTAVNIH AKTIVNOSTI U SREDNJIM ŠKOLAMA I VISOKOŠKOLSKOM OBRAZOVANJU</v>
          </cell>
          <cell r="E44" t="str">
            <v>0922</v>
          </cell>
        </row>
        <row r="45">
          <cell r="C45" t="str">
            <v>A580004</v>
          </cell>
          <cell r="D45" t="str">
            <v>STANDARD UČENIKA S POSEBNIM POTREBAMA</v>
          </cell>
          <cell r="E45" t="str">
            <v>0922</v>
          </cell>
        </row>
        <row r="46">
          <cell r="C46" t="str">
            <v>A580007</v>
          </cell>
          <cell r="D46" t="str">
            <v>PRAVOMOĆNE SUDSKE PRESUDE</v>
          </cell>
          <cell r="E46" t="str">
            <v>0180</v>
          </cell>
        </row>
        <row r="47">
          <cell r="C47" t="str">
            <v>A580014</v>
          </cell>
          <cell r="D47" t="str">
            <v>RAZVOJ SUSTAVA OBRAZOVANJA ODRASLIH</v>
          </cell>
          <cell r="E47" t="str">
            <v>0922</v>
          </cell>
        </row>
        <row r="48">
          <cell r="C48" t="str">
            <v>A580037</v>
          </cell>
          <cell r="D48" t="str">
            <v>JAVNI MEĐUMJESNI PRIJEVOZ ZA UČENIKE</v>
          </cell>
          <cell r="E48" t="str">
            <v>0922</v>
          </cell>
        </row>
        <row r="49">
          <cell r="C49" t="str">
            <v>A580044</v>
          </cell>
          <cell r="D49" t="str">
            <v>RAZVOJ SUSTAVA SREDNJOŠKOLSKOG ODGOJA I OBRAZOVANJA</v>
          </cell>
          <cell r="E49" t="str">
            <v>0922</v>
          </cell>
        </row>
        <row r="50">
          <cell r="C50" t="str">
            <v>A621021</v>
          </cell>
          <cell r="D50" t="str">
            <v>SMJEŠTAJ I PREHRANA STUDENATA STUDENTSKOG CENTRA ZAGREB - SUFINANCIRANJE</v>
          </cell>
          <cell r="E50" t="str">
            <v>0960</v>
          </cell>
        </row>
        <row r="51">
          <cell r="C51" t="str">
            <v>A621022</v>
          </cell>
          <cell r="D51" t="str">
            <v>SMJEŠTAJ I PREHRANA STUDENATA STUDENTSKOG CENTRA OSIJEK - SUFINANCIRANJE</v>
          </cell>
          <cell r="E51" t="str">
            <v>0960</v>
          </cell>
        </row>
        <row r="52">
          <cell r="C52" t="str">
            <v>A621023</v>
          </cell>
          <cell r="D52" t="str">
            <v>SMJEŠTAJ I PREHRANA STUDENATA STUDENTSKOG CENTRA RIJEKA - SUFINANCIRANJE</v>
          </cell>
          <cell r="E52" t="str">
            <v>0960</v>
          </cell>
        </row>
        <row r="53">
          <cell r="C53" t="str">
            <v>A621024</v>
          </cell>
          <cell r="D53" t="str">
            <v>SMJEŠTAJ I PREHRANA STUDENATA STUDENTSKOG CENTRA SPLIT - SUFINANCIRANJE</v>
          </cell>
          <cell r="E53" t="str">
            <v>0960</v>
          </cell>
        </row>
        <row r="54">
          <cell r="C54" t="str">
            <v>A621026</v>
          </cell>
          <cell r="D54" t="str">
            <v>SMJEŠTAJ I PREHRANA STUDENATA STUDENTSKOG CENTRA ŠIBENIK - SUFINANCIRANJE</v>
          </cell>
          <cell r="E54" t="str">
            <v>0960</v>
          </cell>
        </row>
        <row r="55">
          <cell r="C55" t="str">
            <v>A621028</v>
          </cell>
          <cell r="D55" t="str">
            <v>SMJEŠTAJ I PREHRANA STUDENATA STUDENTSKOG CENTRA VARAŽDIN - SUFINANCIRANJE</v>
          </cell>
          <cell r="E55" t="str">
            <v>0960</v>
          </cell>
        </row>
        <row r="56">
          <cell r="C56" t="str">
            <v>A621029</v>
          </cell>
          <cell r="D56" t="str">
            <v>SMJEŠTAJ I PREHRANA STUDENATA STUDENTSKOG CENTRA SLAVONSKI BROD - SUFINANCIRANJE</v>
          </cell>
          <cell r="E56" t="str">
            <v>0960</v>
          </cell>
        </row>
        <row r="57">
          <cell r="C57" t="str">
            <v>A621030</v>
          </cell>
          <cell r="D57" t="str">
            <v>SMJEŠTAJ I PREHRANA STUDENATA STUDENTSKOG CENTRA POŽEGA - SUFINANCIRANJE</v>
          </cell>
          <cell r="E57" t="str">
            <v>0960</v>
          </cell>
        </row>
        <row r="58">
          <cell r="C58" t="str">
            <v>A621031</v>
          </cell>
          <cell r="D58" t="str">
            <v>SMJEŠTAJ I PREHRANA STUDENATA STUDENTSKOG CENTRA KARLOVAC - SUFINANCIRANJE</v>
          </cell>
          <cell r="E58" t="str">
            <v>0960</v>
          </cell>
        </row>
        <row r="59">
          <cell r="C59" t="str">
            <v>A621047</v>
          </cell>
          <cell r="D59" t="str">
            <v>DRŽAVNE, AKADEMSKE NAGRADE I POTPORE U ZNANOSTI I VISOKOM ŠKOLSTVU</v>
          </cell>
          <cell r="E59" t="str">
            <v>0942</v>
          </cell>
        </row>
        <row r="60">
          <cell r="C60" t="str">
            <v>A621048</v>
          </cell>
          <cell r="D60" t="str">
            <v>PROJEKTNO FINANCIRANJE ZNANSTVENE DJELATNOSTI</v>
          </cell>
          <cell r="E60" t="str">
            <v>0942</v>
          </cell>
        </row>
        <row r="61">
          <cell r="C61" t="str">
            <v>A621049</v>
          </cell>
          <cell r="D61" t="str">
            <v>KAMATE ZA STANOVE ZNANSTVENIH NOVAKA I ASISTENATA</v>
          </cell>
          <cell r="E61" t="str">
            <v>0942</v>
          </cell>
        </row>
        <row r="62">
          <cell r="C62" t="str">
            <v>A621058</v>
          </cell>
          <cell r="D62" t="str">
            <v>PROGRAMI POBOLJŠANJA STUDENTSKOG STANDARDA</v>
          </cell>
          <cell r="E62" t="str">
            <v>0960</v>
          </cell>
        </row>
        <row r="63">
          <cell r="C63" t="str">
            <v>A621185</v>
          </cell>
          <cell r="D63" t="str">
            <v>POTPORA HRVATSKOM KATOLIČKOM SVEUČILIŠTU U ZAGREBU</v>
          </cell>
          <cell r="E63" t="str">
            <v>0942</v>
          </cell>
        </row>
        <row r="64">
          <cell r="C64" t="str">
            <v>A622003</v>
          </cell>
          <cell r="D64" t="str">
            <v>UGOVORNO FINANCIRANJE ZNANSTVENE DJELATNOSTI</v>
          </cell>
          <cell r="E64" t="str">
            <v>0150</v>
          </cell>
        </row>
        <row r="65">
          <cell r="C65" t="str">
            <v>A622004</v>
          </cell>
          <cell r="D65" t="str">
            <v>IZDAVANJE DOMAĆIH ZNANSTVENIH ČASOPISA</v>
          </cell>
          <cell r="E65" t="str">
            <v>0150</v>
          </cell>
        </row>
        <row r="66">
          <cell r="C66" t="str">
            <v>A622005</v>
          </cell>
          <cell r="D66" t="str">
            <v>ORGANIZIRANJE I ODRŽAVANJE ZNANSTVENIH SKUPOVA</v>
          </cell>
          <cell r="E66" t="str">
            <v>0150</v>
          </cell>
        </row>
        <row r="67">
          <cell r="C67" t="str">
            <v>A622006</v>
          </cell>
          <cell r="D67" t="str">
            <v>IZDAVANJE  ZNANSTVENIH KNJIGA I UDŽBENIKA</v>
          </cell>
          <cell r="E67" t="str">
            <v>0150</v>
          </cell>
        </row>
        <row r="68">
          <cell r="C68" t="str">
            <v>A622007</v>
          </cell>
          <cell r="D68" t="str">
            <v>FINANCIJSKA POTPORA ZNANSTVENIM UDRUGAMA I PROGRAMIMA POPULARIZACIJE ZNANOSTI</v>
          </cell>
          <cell r="E68" t="str">
            <v>0150</v>
          </cell>
        </row>
        <row r="69">
          <cell r="C69" t="str">
            <v>A628003</v>
          </cell>
          <cell r="D69" t="str">
            <v>PROJEKTI PRIMJENE INFORMACIJSKE TEHNOLOGIJE</v>
          </cell>
          <cell r="E69" t="str">
            <v>0150</v>
          </cell>
        </row>
        <row r="70">
          <cell r="C70" t="str">
            <v>A676059</v>
          </cell>
          <cell r="D70" t="str">
            <v>OBZOR 2020. - EUROPSKA NOĆ ISTRAŽIVAČA</v>
          </cell>
          <cell r="E70" t="str">
            <v>0150</v>
          </cell>
        </row>
        <row r="71">
          <cell r="C71" t="str">
            <v>A676065</v>
          </cell>
          <cell r="D71" t="str">
            <v>ERASMUS+ PROJEKT BWSE FORWARD - BOLONJA OČIMA ZAINTERESIRANIH DIONIKA ZA SNAŽNIJU BUDUĆNOST BOLONJSKOG PROCESA</v>
          </cell>
          <cell r="E71" t="str">
            <v>0970</v>
          </cell>
        </row>
        <row r="72">
          <cell r="C72" t="str">
            <v>A676070</v>
          </cell>
          <cell r="D72" t="str">
            <v>ERASMUS+ EUROPSKO ISTRAŽIVANJE PRAĆENJA OSOBA S DIPLOMOM (GT-HRVATSKA)</v>
          </cell>
          <cell r="E72" t="str">
            <v>0970</v>
          </cell>
        </row>
        <row r="73">
          <cell r="C73" t="str">
            <v>A679005</v>
          </cell>
          <cell r="D73" t="str">
            <v>ČLANSTVO U MEĐUNARODNIM UDRUGAMA</v>
          </cell>
          <cell r="E73" t="str">
            <v>0150</v>
          </cell>
        </row>
        <row r="74">
          <cell r="C74" t="str">
            <v>A679008</v>
          </cell>
          <cell r="D74" t="str">
            <v>PROGRAM RAZVOJNE SURADNJE</v>
          </cell>
          <cell r="E74" t="str">
            <v>0970</v>
          </cell>
        </row>
        <row r="75">
          <cell r="C75" t="str">
            <v>A679009</v>
          </cell>
          <cell r="D75" t="str">
            <v>REDOVNA DJELATNOST LEKTORATA</v>
          </cell>
          <cell r="E75" t="str">
            <v>0970</v>
          </cell>
        </row>
        <row r="76">
          <cell r="C76" t="str">
            <v>A679047</v>
          </cell>
          <cell r="D76" t="str">
            <v>MEĐUNARODNA SURADNJA I EUROPSKI POSLOVI</v>
          </cell>
          <cell r="E76" t="str">
            <v>0150</v>
          </cell>
        </row>
        <row r="77">
          <cell r="C77" t="str">
            <v>A679049</v>
          </cell>
          <cell r="D77" t="str">
            <v>POMOĆI BIH U SUSTAVU ZNANOSTI I OBRAZOVANJA</v>
          </cell>
          <cell r="E77" t="str">
            <v>0970</v>
          </cell>
        </row>
        <row r="78">
          <cell r="C78" t="str">
            <v>A679064</v>
          </cell>
          <cell r="D78" t="str">
            <v>ZNANSTVENO-UČILIŠNI KAMPUS BORONGAJ</v>
          </cell>
          <cell r="E78" t="str">
            <v>0942</v>
          </cell>
        </row>
        <row r="79">
          <cell r="C79" t="str">
            <v>A679065</v>
          </cell>
          <cell r="D79" t="str">
            <v>SMJEŠTAJ I PREHRANA STUDENATA STUDENTSKOG CENTRA PULA - SUFINANCIRANJE</v>
          </cell>
          <cell r="E79" t="str">
            <v>0942</v>
          </cell>
        </row>
        <row r="80">
          <cell r="C80" t="str">
            <v>A679066</v>
          </cell>
          <cell r="D80" t="str">
            <v>POTPORE ROMSKIM STUDIJIMA I STUDENTIMA ROMIMA</v>
          </cell>
          <cell r="E80" t="str">
            <v>0942</v>
          </cell>
        </row>
        <row r="81">
          <cell r="C81" t="str">
            <v>A679067</v>
          </cell>
          <cell r="D81" t="str">
            <v>STIPENDIJE ZA STUDENTE SLABIJEGA SOCIO-EKONOMSKOG STATUSA</v>
          </cell>
          <cell r="E81" t="str">
            <v>0942</v>
          </cell>
        </row>
        <row r="82">
          <cell r="C82" t="str">
            <v>A679069</v>
          </cell>
          <cell r="D82" t="str">
            <v>SMJEŠTAJ I PREHRANA STUDENATA STUDENTSKOG CENTRA SISAK - SUFINANCIRANJE</v>
          </cell>
          <cell r="E82" t="str">
            <v>0942</v>
          </cell>
        </row>
        <row r="83">
          <cell r="C83" t="str">
            <v>A733049</v>
          </cell>
          <cell r="D83" t="str">
            <v>EUROPSKA AGENCIJA ZA POSEBNE POTREBE I INKLUZIVNO OBRAZOVANJE</v>
          </cell>
          <cell r="E83" t="str">
            <v>0970</v>
          </cell>
        </row>
        <row r="84">
          <cell r="C84" t="str">
            <v>A733050</v>
          </cell>
          <cell r="D84" t="str">
            <v>PRAĆENJE I IMPLEMENTACIJA POLITIKA EUROPSKOG ISTRAŽIVAČKOG PROSTORA (ERA)</v>
          </cell>
          <cell r="E84" t="str">
            <v>0150</v>
          </cell>
        </row>
        <row r="85">
          <cell r="C85" t="str">
            <v>A733050</v>
          </cell>
          <cell r="D85" t="str">
            <v>PRAĆENJE I IMPLEMENTACIJA POLITIKA EUROPSKOG ISTRAŽIVAČKOG PROSTORA (ERA)</v>
          </cell>
          <cell r="E85" t="str">
            <v>0970</v>
          </cell>
        </row>
        <row r="86">
          <cell r="C86" t="str">
            <v>A733051</v>
          </cell>
          <cell r="D86" t="str">
            <v>PROGRAMI IZRADE UDŽBENIKA ZA SLIJEPE I SLABOVIDNE UČENIKE I STUDENTE</v>
          </cell>
          <cell r="E86" t="str">
            <v>0970</v>
          </cell>
        </row>
        <row r="87">
          <cell r="C87" t="str">
            <v>A733052</v>
          </cell>
          <cell r="D87" t="str">
            <v>DALJNJE UNAPREĐENJE SUSTAVA ZA RAZVOJ I PROVEDBU NACIONALNOGA KVALIFIKACIJSKOG OKVIRA (NKO)</v>
          </cell>
          <cell r="E87" t="str">
            <v>0970</v>
          </cell>
        </row>
        <row r="88">
          <cell r="C88" t="str">
            <v>A733055</v>
          </cell>
          <cell r="D88" t="str">
            <v>PROGRAM IZVRSNOSTI U VISOKOM OBRAZOVANJU - TENURE-TRACK</v>
          </cell>
          <cell r="E88" t="str">
            <v>0150</v>
          </cell>
        </row>
        <row r="89">
          <cell r="C89" t="str">
            <v>A733056</v>
          </cell>
          <cell r="D89" t="str">
            <v>EUROPSKI ZNANSTVENI PROJEKTI</v>
          </cell>
          <cell r="E89" t="str">
            <v>0150</v>
          </cell>
        </row>
        <row r="90">
          <cell r="C90" t="str">
            <v>A733060</v>
          </cell>
          <cell r="D90" t="str">
            <v>OBZOR 2020. - PROGRAM POTICANJA ISTRAŽIVANJA I RAZVOJA MORSKIH BIO-RESURSA – ERA-NET BLUEBIOECONOMY</v>
          </cell>
          <cell r="E90" t="str">
            <v>0150</v>
          </cell>
        </row>
        <row r="91">
          <cell r="C91" t="str">
            <v>A733063</v>
          </cell>
          <cell r="D91" t="str">
            <v>ERASMUS+ KORIŠTENJE PODATAKA S CILJEM UNAPRJEĐENJA KVALITETE U SUSTAVU ODGOJA I OBRAZOVANJA - DATA DRIVE</v>
          </cell>
          <cell r="E91" t="str">
            <v>0970</v>
          </cell>
        </row>
        <row r="92">
          <cell r="C92" t="str">
            <v>A733064</v>
          </cell>
          <cell r="D92" t="str">
            <v>ERASMUS+ INTERDISCIPLINARNI STEM PRISTUP SVEMU OKO NAS - STE(A)M IT</v>
          </cell>
          <cell r="E92" t="str">
            <v>0970</v>
          </cell>
        </row>
        <row r="93">
          <cell r="C93" t="str">
            <v>A733065</v>
          </cell>
          <cell r="D93" t="str">
            <v>ERASMUS + PRIZNAVANJE PRETHODNOG UČENJA U PRAKSI</v>
          </cell>
          <cell r="E93" t="str">
            <v>0970</v>
          </cell>
        </row>
        <row r="94">
          <cell r="C94" t="str">
            <v>A733066</v>
          </cell>
          <cell r="D94" t="str">
            <v>ERASMUS PLUS - OSNAŽIVANJE NASTAVNIKA DILJEM EUROPE - KA3 - HAND IN HAND</v>
          </cell>
          <cell r="E94" t="str">
            <v>0970</v>
          </cell>
        </row>
        <row r="95">
          <cell r="C95" t="str">
            <v>A767002</v>
          </cell>
          <cell r="D95" t="str">
            <v>IZRADA DEFICITARNIH UDŽBENIKA U ŠKOLSTVU</v>
          </cell>
          <cell r="E95" t="str">
            <v>0970</v>
          </cell>
        </row>
        <row r="96">
          <cell r="C96" t="str">
            <v>A767003</v>
          </cell>
          <cell r="D96" t="str">
            <v>SREDNJOŠKOLSKE STIPENDIJE ZA UČENIKE ROME</v>
          </cell>
          <cell r="E96" t="str">
            <v>0970</v>
          </cell>
        </row>
        <row r="97">
          <cell r="C97" t="str">
            <v>A767004</v>
          </cell>
          <cell r="D97" t="str">
            <v>NAOBRAZBA DJECE U ALTERNATIVNIM ŠKOLAMA</v>
          </cell>
          <cell r="E97" t="str">
            <v>0970</v>
          </cell>
        </row>
        <row r="98">
          <cell r="C98" t="str">
            <v>A767008</v>
          </cell>
          <cell r="D98" t="str">
            <v>SUBVENCIONIRANJE KAMATA ZA STANOVE UČITELJA</v>
          </cell>
          <cell r="E98" t="str">
            <v>0970</v>
          </cell>
        </row>
        <row r="99">
          <cell r="C99" t="str">
            <v>A767009</v>
          </cell>
          <cell r="D99" t="str">
            <v>ZNANSTVENI CENTRI IZVRSNOSTI - DRUŠTVENO HUMANISTIČKO PODRUČJE</v>
          </cell>
          <cell r="E99" t="str">
            <v>0150</v>
          </cell>
        </row>
        <row r="100">
          <cell r="C100" t="str">
            <v>A767013</v>
          </cell>
          <cell r="D100" t="str">
            <v>RAZVOJ SUSTAVA OSIGURANJA KVALITETE</v>
          </cell>
          <cell r="E100" t="str">
            <v>0922</v>
          </cell>
        </row>
        <row r="101">
          <cell r="C101" t="str">
            <v>A767015</v>
          </cell>
          <cell r="D101" t="str">
            <v>PROVEDBA PROGRAMA ZA UKLJUČIVANJE ROMA</v>
          </cell>
          <cell r="E101" t="str">
            <v>0970</v>
          </cell>
        </row>
        <row r="102">
          <cell r="C102" t="str">
            <v>A767035</v>
          </cell>
          <cell r="D102" t="str">
            <v>MEĐUNARODNA SURADNJA</v>
          </cell>
          <cell r="E102" t="str">
            <v>0150</v>
          </cell>
        </row>
        <row r="103">
          <cell r="C103" t="str">
            <v>A767038</v>
          </cell>
          <cell r="D103" t="str">
            <v>OBZOR 2020. - PROGRAM MEĐUNARODNE MOBILNOSTI ZA ISTRAŽIVAČE - NEWFELPRO</v>
          </cell>
          <cell r="E103" t="str">
            <v>0150</v>
          </cell>
        </row>
        <row r="104">
          <cell r="C104" t="str">
            <v>A767042</v>
          </cell>
          <cell r="D104" t="str">
            <v>OBRAZOVANJE OSOBA BEZ HRVATSKOG DRŽAVLJANSTVA</v>
          </cell>
          <cell r="E104" t="str">
            <v>0970</v>
          </cell>
        </row>
        <row r="105">
          <cell r="C105" t="str">
            <v>A767043</v>
          </cell>
          <cell r="D105" t="str">
            <v>RAZVOJ VISOKOG OBRAZOVANJA</v>
          </cell>
          <cell r="E105" t="str">
            <v>0942</v>
          </cell>
        </row>
        <row r="106">
          <cell r="C106" t="str">
            <v>A767056</v>
          </cell>
          <cell r="D106" t="str">
            <v>OBZOR 2020. - PARTNERSTVO ZA ISTRAŽIVANJA I INOVACIJE NA MEDITERANSKOM PODRUČJU - PRIMA</v>
          </cell>
          <cell r="E106" t="str">
            <v>0150</v>
          </cell>
        </row>
        <row r="107">
          <cell r="C107" t="str">
            <v>A768053</v>
          </cell>
          <cell r="D107" t="str">
            <v>EUROPSKE ŠKOLE</v>
          </cell>
          <cell r="E107" t="str">
            <v>0970</v>
          </cell>
        </row>
        <row r="108">
          <cell r="C108" t="str">
            <v>A768054</v>
          </cell>
          <cell r="D108" t="str">
            <v>DODATNA SREDSTVA IZRAVNANJA ZA DECENTRALIZIRANE FUNKCIJE</v>
          </cell>
          <cell r="E108" t="str">
            <v>0970</v>
          </cell>
        </row>
        <row r="109">
          <cell r="C109" t="str">
            <v>A768058</v>
          </cell>
          <cell r="D109" t="str">
            <v>PREUZETE OBVEZE PO MEĐUNARODNIM UGOVORIMA</v>
          </cell>
          <cell r="E109" t="str">
            <v>0970</v>
          </cell>
        </row>
        <row r="110">
          <cell r="C110" t="str">
            <v>A768061</v>
          </cell>
          <cell r="D110" t="str">
            <v>ERASMUS+ UČINKOVITO PARTNERSTVO ZA UNAPRIJEĐENO PRIZNAVANJE - EPER</v>
          </cell>
          <cell r="E110" t="str">
            <v>0970</v>
          </cell>
        </row>
        <row r="111">
          <cell r="C111" t="str">
            <v>A768064</v>
          </cell>
          <cell r="D111" t="str">
            <v>ERASMUS+ PROJEKT TRACER - TRANSPARENTNOST HRVATSKIH KVALIFIKACIJA RADI LAKŠEG PRIZNAVANJA</v>
          </cell>
          <cell r="E111" t="str">
            <v>0970</v>
          </cell>
        </row>
        <row r="112">
          <cell r="C112" t="str">
            <v>A768065</v>
          </cell>
          <cell r="D112" t="str">
            <v>OBZOR 2020 - MENTORSTVO ZA UNAPRJEĐENJE ŠKOLE - MENSI</v>
          </cell>
          <cell r="E112" t="str">
            <v>0970</v>
          </cell>
        </row>
        <row r="113">
          <cell r="C113" t="str">
            <v>A768068</v>
          </cell>
          <cell r="D113" t="str">
            <v>OTKUP ZNANSTVENIH KNJIGA I VISOKOŠKOLSKIH UDŽBENIKA</v>
          </cell>
          <cell r="E113" t="str">
            <v>0150</v>
          </cell>
        </row>
        <row r="114">
          <cell r="C114" t="str">
            <v>A818021</v>
          </cell>
          <cell r="D114" t="str">
            <v>PRIMJENA UDŽBENIČKOG STANDARDA</v>
          </cell>
          <cell r="E114" t="str">
            <v>0912</v>
          </cell>
        </row>
        <row r="115">
          <cell r="C115" t="str">
            <v>A818034</v>
          </cell>
          <cell r="D115" t="str">
            <v>PROJEKT POVEZIVANJA S EUROPSKIM KVALIFIKACIJSKIM OKVIROM - EQF NCP GRANT</v>
          </cell>
          <cell r="E115" t="str">
            <v>0970</v>
          </cell>
        </row>
        <row r="116">
          <cell r="C116" t="str">
            <v>A818035</v>
          </cell>
          <cell r="D116" t="str">
            <v>MENTORI I STRUČNI ISPITI U OSNOVNIM I SREDNJIM ŠKOLAMA</v>
          </cell>
          <cell r="E116" t="str">
            <v>0970</v>
          </cell>
        </row>
        <row r="117">
          <cell r="C117" t="str">
            <v>A818049</v>
          </cell>
          <cell r="D117" t="str">
            <v>REGIONALNI CENTAR ZA IMPLEMENTACIJU REGIONALNE STRATEGIJE ZNANOSTI I ISTRAŽIVANJA ZAPADNOG BALKANA ZA INOVACIJE (WISE)</v>
          </cell>
          <cell r="E117" t="str">
            <v>0150</v>
          </cell>
        </row>
        <row r="118">
          <cell r="C118" t="str">
            <v>K110283</v>
          </cell>
          <cell r="D118" t="str">
            <v>OPREMANJE OSNOVNOŠKOLSKIH KNJIŽNICA OBVEZNOM LEKTIROM I STRUČNOM LITERATUROM</v>
          </cell>
          <cell r="E118" t="str">
            <v>0912</v>
          </cell>
        </row>
        <row r="119">
          <cell r="C119" t="str">
            <v>K110291</v>
          </cell>
          <cell r="D119" t="str">
            <v>OPREMANJE SREDNJOŠKOLSKIH KNJIŽNICA LEKTIROM I STRUČNOM LITERATUROM</v>
          </cell>
          <cell r="E119" t="str">
            <v>0922</v>
          </cell>
        </row>
        <row r="120">
          <cell r="C120" t="str">
            <v>K252755</v>
          </cell>
          <cell r="D120" t="str">
            <v>RAČUNALNO KOMUNIKACIJSKA INFRASTRUKTURA U OSNOVNIM I SREDNJIM ŠKOLAMA</v>
          </cell>
          <cell r="E120" t="str">
            <v>0980</v>
          </cell>
        </row>
        <row r="121">
          <cell r="C121" t="str">
            <v>K578010</v>
          </cell>
          <cell r="D121" t="str">
            <v>IZGRADNJA DJEČJEG CENTRA VOŠTARNICA</v>
          </cell>
          <cell r="E121" t="str">
            <v>0911</v>
          </cell>
        </row>
        <row r="122">
          <cell r="C122" t="str">
            <v>K578051</v>
          </cell>
          <cell r="D122" t="str">
            <v>OP KONKURENTNOST I KOHEZIJA 2014.-2020., PRIORITET 1, 9 i 10</v>
          </cell>
          <cell r="E122" t="str">
            <v>0150</v>
          </cell>
        </row>
        <row r="123">
          <cell r="C123" t="str">
            <v>K578063</v>
          </cell>
          <cell r="D123" t="str">
            <v>PROJEKT "HRVATSKA: USUSRET ODRŽIVOM, PRAVEDNOM I UČINKOVITOM OBRAZOVANJU"</v>
          </cell>
          <cell r="E123" t="str">
            <v>0970</v>
          </cell>
        </row>
        <row r="124">
          <cell r="C124" t="str">
            <v>K578064</v>
          </cell>
          <cell r="D124" t="str">
            <v>CENTAR ZA ODGOJ I OBRAZOVANJE ČAKOVEC</v>
          </cell>
          <cell r="E124" t="str">
            <v>0912</v>
          </cell>
        </row>
        <row r="125">
          <cell r="C125" t="str">
            <v>K578068</v>
          </cell>
          <cell r="D125" t="str">
            <v>IZGRADNJA, DOGRADNJA, REKONSTRUKCIJA I OPREMANJE SREDNJIH ŠKOLA - NPOO (C3.1.R1-I3)</v>
          </cell>
          <cell r="E125" t="str">
            <v>0922</v>
          </cell>
        </row>
        <row r="126">
          <cell r="C126" t="str">
            <v>K578070</v>
          </cell>
          <cell r="D126" t="str">
            <v>POBOLJŠANJE UČINKOVITOSTI JAVNIH ULAGANJA NA PODRUČJU ISTRAŽIVANJA, RAZVOJA I INOVACIJA - NPOO (C3.2.R3)</v>
          </cell>
          <cell r="E126" t="str">
            <v>0150</v>
          </cell>
        </row>
        <row r="127">
          <cell r="C127" t="str">
            <v>K579064</v>
          </cell>
          <cell r="D127" t="str">
            <v>KAPITALNE INVESTICIJE U OSNOVNOM I SREDNJEM ŠKOLSTVU</v>
          </cell>
          <cell r="E127" t="str">
            <v>0970</v>
          </cell>
        </row>
        <row r="128">
          <cell r="C128" t="str">
            <v>K621173</v>
          </cell>
          <cell r="D128" t="str">
            <v>INFORMACIJSKA INFRASTRUKTURA SUSTAVA VISOKOG OBRAZOVANJA</v>
          </cell>
          <cell r="E128" t="str">
            <v>0942</v>
          </cell>
        </row>
        <row r="129">
          <cell r="C129" t="str">
            <v>K622113</v>
          </cell>
          <cell r="D129" t="str">
            <v>ULAGANJE U ODRŽAVANJE ZNANSTVENOISTRAŽIVAČKE OPREME I INFRASTRUKTURE</v>
          </cell>
          <cell r="E129" t="str">
            <v>0150</v>
          </cell>
        </row>
        <row r="130">
          <cell r="C130" t="str">
            <v>K676058</v>
          </cell>
          <cell r="D130" t="str">
            <v>PROSVJETNO-KULTURNI CENTAR MAĐARA - IZGRADNJA UČENIČKOG DOMA</v>
          </cell>
          <cell r="E130" t="str">
            <v>0922</v>
          </cell>
        </row>
        <row r="131">
          <cell r="C131" t="str">
            <v>K676064</v>
          </cell>
          <cell r="D131" t="str">
            <v>TALIJANSKA SŠ LEONARDO DA VINCI BUJE-REKONSTRUKCIJA I DOGRADNJA</v>
          </cell>
          <cell r="E131" t="str">
            <v>0922</v>
          </cell>
        </row>
        <row r="132">
          <cell r="C132" t="str">
            <v>K676064</v>
          </cell>
          <cell r="D132" t="str">
            <v>TALIJANSKA SŠ LEONARDO DA VINCI BUJE-REKONSTRUKCIJA I DOGRADNJA</v>
          </cell>
          <cell r="E132" t="str">
            <v>0970</v>
          </cell>
        </row>
        <row r="133">
          <cell r="C133" t="str">
            <v>K676066</v>
          </cell>
          <cell r="D133" t="str">
            <v>OBNOVA ZGRADA OŠTEĆENIH U POTRESU S ENERGETSKOM OBNOVOM - NPOO (C6.1.R1-I2)</v>
          </cell>
          <cell r="E133" t="str">
            <v>0970</v>
          </cell>
        </row>
        <row r="134">
          <cell r="C134" t="str">
            <v>K676067</v>
          </cell>
          <cell r="D134" t="str">
            <v>IZGRADNJA, DOGRADNJA, REKONSTRUKCIJA I OPREMANJE PREDŠKOLSKIH USTANOVA - NPOO (C3.1.R1-I1)</v>
          </cell>
          <cell r="E134" t="str">
            <v>0911</v>
          </cell>
        </row>
        <row r="135">
          <cell r="C135" t="str">
            <v>K676069</v>
          </cell>
          <cell r="D135" t="str">
            <v>STVARANJE OKVIRA ZA PRIVLAČENJE STUDENATA I ISTRAŽIVAČA U STEM I ICT PODRUČJIMA - NPOO (C3.2.R2)</v>
          </cell>
          <cell r="E135" t="str">
            <v>0150</v>
          </cell>
        </row>
        <row r="136">
          <cell r="C136" t="str">
            <v>K733061</v>
          </cell>
          <cell r="D136" t="str">
            <v>OSNOVNA ŠKOLA MILAN AMRUŠ SLAVONSKI BROD</v>
          </cell>
          <cell r="E136" t="str">
            <v>0912</v>
          </cell>
        </row>
        <row r="137">
          <cell r="C137" t="str">
            <v>K733067</v>
          </cell>
          <cell r="D137" t="str">
            <v>OP UČINKOVITI LJUDSKI POTENCIJALI 2021.-2027., PRIORITET 2</v>
          </cell>
          <cell r="E137" t="str">
            <v>0950</v>
          </cell>
        </row>
        <row r="138">
          <cell r="C138" t="str">
            <v>K767031</v>
          </cell>
          <cell r="D138" t="str">
            <v>OŠ MIJATA STOJANOVIĆA U BABINOJ GREDI</v>
          </cell>
          <cell r="E138" t="str">
            <v>0912</v>
          </cell>
        </row>
        <row r="139">
          <cell r="C139" t="str">
            <v>K767032</v>
          </cell>
          <cell r="D139" t="str">
            <v>OBRTNIČKA ŠKOLA SISAK</v>
          </cell>
          <cell r="E139" t="str">
            <v>0922</v>
          </cell>
        </row>
        <row r="140">
          <cell r="C140" t="str">
            <v>K768066</v>
          </cell>
          <cell r="D140" t="str">
            <v>OBNOVA INFRASTRUKTURE I OPREME U PODRUČJU OBRAZOVANJA OŠTEĆENE POTRESOM</v>
          </cell>
          <cell r="E140" t="str">
            <v>0970</v>
          </cell>
        </row>
        <row r="141">
          <cell r="C141" t="str">
            <v>K768067</v>
          </cell>
          <cell r="D141" t="str">
            <v>IZGRADNJA, DOGRADNJA, REKONSTRUKCIJA I OPREMANJE OSNOVNIH ŠKOLA ZA POTREBE JEDNOSMJENSKOG RADA I CJELODNEVNE NASTAVE - NPOO (C3.1.R1-I2)</v>
          </cell>
          <cell r="E141" t="str">
            <v>0912</v>
          </cell>
        </row>
        <row r="142">
          <cell r="C142" t="str">
            <v>K768069</v>
          </cell>
          <cell r="D142" t="str">
            <v>REFORMA I JAČANJE KAPACITETA JAVNOG ZNANSTVENO-ISTRAIŽIVAČKOG SEKTORA ZA ISTRAŽIVANJE I RAZVOJ - NPOO (C3.2.R1)</v>
          </cell>
          <cell r="E142" t="str">
            <v>0150</v>
          </cell>
        </row>
        <row r="143">
          <cell r="C143" t="str">
            <v>K768070</v>
          </cell>
          <cell r="D143" t="str">
            <v>OBNOVA INFRASTRUKTURE U PODRUČJU OBRAZOVANJA OŠTEĆENE POTRESOM FSEU.2022.MZO</v>
          </cell>
          <cell r="E143" t="str">
            <v>0970</v>
          </cell>
        </row>
        <row r="144">
          <cell r="C144" t="str">
            <v>K818050</v>
          </cell>
          <cell r="D144" t="str">
            <v>OP UČINKOVITI LJUDSKI POTENCIJALI 2014.-2020., PRIORITET 3 i 4</v>
          </cell>
          <cell r="E144" t="str">
            <v>0950</v>
          </cell>
        </row>
        <row r="145">
          <cell r="C145" t="str">
            <v>T580070</v>
          </cell>
          <cell r="D145" t="str">
            <v>SANACIJA POSLJEDICA POTRESA</v>
          </cell>
          <cell r="E145" t="str">
            <v>0970</v>
          </cell>
        </row>
        <row r="146">
          <cell r="C146" t="str">
            <v>A621001</v>
          </cell>
          <cell r="D146" t="str">
            <v>REDOVNA DJELATNOST SVEUČILIŠTA U ZAGREBU</v>
          </cell>
          <cell r="E146" t="str">
            <v>0942</v>
          </cell>
        </row>
        <row r="147">
          <cell r="C147" t="str">
            <v>A621002</v>
          </cell>
          <cell r="D147" t="str">
            <v>REDOVNA DJELATNOST SVEUČILIŠTA U RIJECI</v>
          </cell>
          <cell r="E147" t="str">
            <v>0942</v>
          </cell>
        </row>
        <row r="148">
          <cell r="C148" t="str">
            <v>A621003</v>
          </cell>
          <cell r="D148" t="str">
            <v>REDOVNA DJELATNOST SVEUČILIŠTA U OSIJEKU</v>
          </cell>
          <cell r="E148" t="str">
            <v>0942</v>
          </cell>
        </row>
        <row r="149">
          <cell r="C149" t="str">
            <v>A621004</v>
          </cell>
          <cell r="D149" t="str">
            <v>REDOVNA DJELATNOST SVEUČILIŠTA U SPLITU</v>
          </cell>
          <cell r="E149" t="str">
            <v>0942</v>
          </cell>
        </row>
        <row r="150">
          <cell r="C150" t="str">
            <v>A621038</v>
          </cell>
          <cell r="D150" t="str">
            <v>PROGRAMI VJEŽBAONICA VISOKIH UČILIŠTA</v>
          </cell>
          <cell r="E150" t="str">
            <v>0942</v>
          </cell>
        </row>
        <row r="151">
          <cell r="C151" t="str">
            <v>A621074</v>
          </cell>
          <cell r="D151" t="str">
            <v>REDOVNA DJELATNOST SVEUČILIŠTA U ZADRU</v>
          </cell>
          <cell r="E151" t="str">
            <v>0942</v>
          </cell>
        </row>
        <row r="152">
          <cell r="C152" t="str">
            <v>A621138</v>
          </cell>
          <cell r="D152" t="str">
            <v>REDOVNA DJELATNOST SVEUČILIŠTA U DUBROVNIKU</v>
          </cell>
          <cell r="E152" t="str">
            <v>0942</v>
          </cell>
        </row>
        <row r="153">
          <cell r="C153" t="str">
            <v>A621148</v>
          </cell>
          <cell r="D153" t="str">
            <v>REDOVNA DJELATNOST VELEUČILIŠTA I VISOKIH ŠKOLA</v>
          </cell>
          <cell r="E153" t="str">
            <v>0942</v>
          </cell>
        </row>
        <row r="154">
          <cell r="C154" t="str">
            <v>A621168</v>
          </cell>
          <cell r="D154" t="str">
            <v>REDOVNA DJELATNOST SVEUČILIŠTA U PULI</v>
          </cell>
          <cell r="E154" t="str">
            <v>0942</v>
          </cell>
        </row>
        <row r="155">
          <cell r="C155" t="str">
            <v>A621180</v>
          </cell>
          <cell r="D155" t="str">
            <v>REKTORSKI ZBOR</v>
          </cell>
          <cell r="E155" t="str">
            <v>0942</v>
          </cell>
        </row>
        <row r="156">
          <cell r="C156" t="str">
            <v>A621181</v>
          </cell>
          <cell r="D156" t="str">
            <v>PRAVOMOĆNE SUDSKE PRESUDE</v>
          </cell>
          <cell r="E156" t="str">
            <v>0942</v>
          </cell>
        </row>
        <row r="157">
          <cell r="C157" t="str">
            <v>A621183</v>
          </cell>
          <cell r="D157" t="str">
            <v>STIPENDIJE I ŠKOLARINE ZA DOKTORSKI STUDIJ</v>
          </cell>
          <cell r="E157" t="str">
            <v>0942</v>
          </cell>
        </row>
        <row r="158">
          <cell r="C158" t="str">
            <v>A622012</v>
          </cell>
          <cell r="D158" t="str">
            <v>REDOVNA DJELATNOST SEIZMOLOŠKE SLUŽBE</v>
          </cell>
          <cell r="E158" t="str">
            <v>0942</v>
          </cell>
        </row>
        <row r="159">
          <cell r="C159" t="str">
            <v>A622122</v>
          </cell>
          <cell r="D159" t="str">
            <v>PROGRAMSKO FINANCIRANJE JAVNIH VISOKIH UČILIŠTA</v>
          </cell>
          <cell r="E159" t="str">
            <v>0942</v>
          </cell>
        </row>
        <row r="160">
          <cell r="C160" t="str">
            <v>A679071</v>
          </cell>
          <cell r="D160" t="str">
            <v>EU PROJEKTI SVEUČILIŠTA U OSIJEKU (IZ EVIDENCIJSKIH PRIHODA)</v>
          </cell>
          <cell r="E160" t="str">
            <v>0942</v>
          </cell>
        </row>
        <row r="161">
          <cell r="C161" t="str">
            <v>A679072</v>
          </cell>
          <cell r="D161" t="str">
            <v>EU PROJEKTI SVEUČILIŠTA U RIJECI (IZ EVIDENCIJSKIH PRIHODA)</v>
          </cell>
          <cell r="E161" t="str">
            <v>0942</v>
          </cell>
        </row>
        <row r="162">
          <cell r="C162" t="str">
            <v>A679073</v>
          </cell>
          <cell r="D162" t="str">
            <v>EU PROJEKTI SVEUČILIŠTA U DUBROVNIKU (IZ EVIDENCIJSKIH PRIHODA)</v>
          </cell>
          <cell r="E162" t="str">
            <v>0942</v>
          </cell>
        </row>
        <row r="163">
          <cell r="C163" t="str">
            <v>A679074</v>
          </cell>
          <cell r="D163" t="str">
            <v>EU PROJEKTI SVEUČILIŠTA U ZADRU (IZ EVIDENCIJSKIH PRIHODA)</v>
          </cell>
          <cell r="E163" t="str">
            <v>0942</v>
          </cell>
        </row>
        <row r="164">
          <cell r="C164" t="str">
            <v>A679075</v>
          </cell>
          <cell r="D164" t="str">
            <v>EU PROJEKTI SVEUČILIŠTA U PULI (IZ EVIDENCIJSKIH PRIHODA)</v>
          </cell>
          <cell r="E164" t="str">
            <v>0942</v>
          </cell>
        </row>
        <row r="165">
          <cell r="C165" t="str">
            <v>A679076</v>
          </cell>
          <cell r="D165" t="str">
            <v>EU PROJEKTI VELEUČILIŠTA I VISOKIH ŠKOLA (IZ EVIDENCIJSKIH PRIHODA)</v>
          </cell>
          <cell r="E165" t="str">
            <v>0942</v>
          </cell>
        </row>
        <row r="166">
          <cell r="C166" t="str">
            <v>A679077</v>
          </cell>
          <cell r="D166" t="str">
            <v>EU PROJEKTI SVEUČILIŠTA U SPLITU (IZ EVIDENCIJSKIH PRIHODA)</v>
          </cell>
          <cell r="E166" t="str">
            <v>0942</v>
          </cell>
        </row>
        <row r="167">
          <cell r="C167" t="str">
            <v>A679078</v>
          </cell>
          <cell r="D167" t="str">
            <v>EU PROJEKTI SVEUČILIŠTA U ZAGREBU (IZ EVIDENCIJSKIH PRIHODA)</v>
          </cell>
          <cell r="E167" t="str">
            <v>0942</v>
          </cell>
        </row>
        <row r="168">
          <cell r="C168" t="str">
            <v>A679079</v>
          </cell>
          <cell r="D168" t="str">
            <v>SVEUČILIŠTE U ZAGREBU - BICRO BIOCentar</v>
          </cell>
          <cell r="E168" t="str">
            <v>0942</v>
          </cell>
        </row>
        <row r="169">
          <cell r="C169" t="str">
            <v>A679080</v>
          </cell>
          <cell r="D169" t="str">
            <v>REDOVNA DJELATNOST SVEUČILIŠTA SJEVER</v>
          </cell>
          <cell r="E169" t="str">
            <v>0942</v>
          </cell>
        </row>
        <row r="170">
          <cell r="C170" t="str">
            <v>A679080</v>
          </cell>
          <cell r="D170" t="str">
            <v>REDOVNA DJELATNOST SVEUČILIŠTA SJEVER</v>
          </cell>
          <cell r="E170" t="str">
            <v>0960</v>
          </cell>
        </row>
        <row r="171">
          <cell r="C171" t="str">
            <v>A679081</v>
          </cell>
          <cell r="D171" t="str">
            <v>EU PROJEKTI SVEUČILIŠTA SJEVER (IZ EVIDENCIJSKIH PRIHODA)</v>
          </cell>
          <cell r="E171" t="str">
            <v>0942</v>
          </cell>
        </row>
        <row r="172">
          <cell r="C172" t="str">
            <v>A679088</v>
          </cell>
          <cell r="D172" t="str">
            <v>REDOVNA DJELATNOST SVEUČILIŠTA U ZAGREBU (IZ EVIDENCIJSKIH PRIHODA)</v>
          </cell>
          <cell r="E172" t="str">
            <v>0942</v>
          </cell>
        </row>
        <row r="173">
          <cell r="C173" t="str">
            <v>A679089</v>
          </cell>
          <cell r="D173" t="str">
            <v>REDOVNA DJELATNOST SVEUČILIŠTA U RIJECI (IZ EVIDENCIJSKIH PRIHODA)</v>
          </cell>
          <cell r="E173" t="str">
            <v>0942</v>
          </cell>
        </row>
        <row r="174">
          <cell r="C174" t="str">
            <v>A679090</v>
          </cell>
          <cell r="D174" t="str">
            <v>REDOVNA DJELATNOST SVEUČILIŠTA U OSIJEKU (IZ EVIDENCIJSKIH PRIHODA)</v>
          </cell>
          <cell r="E174" t="str">
            <v>0942</v>
          </cell>
        </row>
        <row r="175">
          <cell r="C175" t="str">
            <v>A679091</v>
          </cell>
          <cell r="D175" t="str">
            <v>REDOVNA DJELATNOST SVEUČILIŠTA U SPLITU (IZ EVIDENCIJSKIH PRIHODA)</v>
          </cell>
          <cell r="E175" t="str">
            <v>0942</v>
          </cell>
        </row>
        <row r="176">
          <cell r="C176" t="str">
            <v>A679092</v>
          </cell>
          <cell r="D176" t="str">
            <v>REDOVNA DJELATNOST SVEUČILIŠTA U ZADRU (IZ EVIDENCIJSKIH PRIHODA)</v>
          </cell>
          <cell r="E176" t="str">
            <v>0942</v>
          </cell>
        </row>
        <row r="177">
          <cell r="C177" t="str">
            <v>A679093</v>
          </cell>
          <cell r="D177" t="str">
            <v>REDOVNA DJELATNOST SVEUČILIŠTA U DUBROVNIKU (IZ EVIDENCIJSKIH PRIHODA)</v>
          </cell>
          <cell r="E177" t="str">
            <v>0942</v>
          </cell>
        </row>
        <row r="178">
          <cell r="C178" t="str">
            <v>A679094</v>
          </cell>
          <cell r="D178" t="str">
            <v>REDOVNA DJELATNOST VELEUČILIŠTA I VISOKIH ŠKOLA (IZ EVIDENCIJSKIH PRIHODA)</v>
          </cell>
          <cell r="E178" t="str">
            <v>0942</v>
          </cell>
        </row>
        <row r="179">
          <cell r="C179" t="str">
            <v>A679095</v>
          </cell>
          <cell r="D179" t="str">
            <v>REDOVNA DJELATNOST SVEUČILIŠTA U PULI (IZ EVIDENCIJSKIH PRIHODA)</v>
          </cell>
          <cell r="E179" t="str">
            <v>0942</v>
          </cell>
        </row>
        <row r="180">
          <cell r="C180" t="str">
            <v>A679096</v>
          </cell>
          <cell r="D180" t="str">
            <v>REDOVNA DJELATNOST SVEUČILIŠTA SJEVER (IZ EVIDENCIJSKIH PRIHODA)</v>
          </cell>
          <cell r="E180" t="str">
            <v>0942</v>
          </cell>
        </row>
        <row r="181">
          <cell r="C181" t="str">
            <v>A679110</v>
          </cell>
          <cell r="D181" t="str">
            <v>POTPORA UMJETNIČKIM STUDIJIMA</v>
          </cell>
          <cell r="E181" t="str">
            <v>0942</v>
          </cell>
        </row>
        <row r="182">
          <cell r="C182" t="str">
            <v>A679112</v>
          </cell>
          <cell r="D182" t="str">
            <v>REDOVNA DJELATNOST SVEUČILIŠTA U SLAVONSKOM BRODU</v>
          </cell>
          <cell r="E182" t="str">
            <v>0942</v>
          </cell>
        </row>
        <row r="183">
          <cell r="C183" t="str">
            <v>A679114</v>
          </cell>
          <cell r="D183" t="str">
            <v>REDOVNA DJELATNOST SVEUČILIŠTA U SLAVONSKOM BRODU (IZ EVIDENCIJSKIH PRIHODA)</v>
          </cell>
          <cell r="E183" t="str">
            <v>0942</v>
          </cell>
        </row>
        <row r="184">
          <cell r="C184" t="str">
            <v>A679115</v>
          </cell>
          <cell r="D184" t="str">
            <v>EU PROJEKTI SVEUČILIŠTA U SLAVONSKOM BRODU  (IZ EVIDENCIJSKIH PRIHODA)</v>
          </cell>
          <cell r="E184" t="str">
            <v>0942</v>
          </cell>
        </row>
        <row r="185">
          <cell r="C185" t="str">
            <v>A679117</v>
          </cell>
          <cell r="D185" t="str">
            <v>HPC - PROJEKT ISTRAŽIVANJA NA PODRUČJU POTRESNOG INŽENJERSTVA</v>
          </cell>
          <cell r="E185" t="str">
            <v>0942</v>
          </cell>
        </row>
        <row r="186">
          <cell r="C186" t="str">
            <v>A679118</v>
          </cell>
          <cell r="D186" t="str">
            <v>PROJEKT PRAĆENJA GEOLOŠKIH HAZARDA I RIZIKA NAKON POTRESA U PETRINJI</v>
          </cell>
          <cell r="E186" t="str">
            <v>0942</v>
          </cell>
        </row>
        <row r="187">
          <cell r="C187" t="str">
            <v>A679123</v>
          </cell>
          <cell r="D187" t="str">
            <v>ERASMUS PLUS - EUROPSKO ISTRAŽIVANJE PRAĆENJA OSOBA S DIPLOMOM - GT HRVATSKA</v>
          </cell>
          <cell r="E187" t="str">
            <v>0942</v>
          </cell>
        </row>
        <row r="188">
          <cell r="C188" t="str">
            <v>K621061</v>
          </cell>
          <cell r="D188" t="str">
            <v>ODRŽAVANJE OBJEKATA VISOKOOBRAZOVNIH USTANOVA</v>
          </cell>
          <cell r="E188" t="str">
            <v>0942</v>
          </cell>
        </row>
        <row r="189">
          <cell r="C189" t="str">
            <v>K679084</v>
          </cell>
          <cell r="D189" t="str">
            <v>OP KONKURENTNOST I KOHEZIJA 2014.-2020., PRIORITET 1, 9 i 10</v>
          </cell>
          <cell r="E189" t="str">
            <v>0942</v>
          </cell>
        </row>
        <row r="190">
          <cell r="C190" t="str">
            <v>K679106</v>
          </cell>
          <cell r="D190" t="str">
            <v>OP UČINKOVITI LJUDSKI POTENCIJALI 2014.-2020., PRIORITET 3</v>
          </cell>
          <cell r="E190" t="str">
            <v>0942</v>
          </cell>
        </row>
        <row r="191">
          <cell r="C191" t="str">
            <v>K679116</v>
          </cell>
          <cell r="D191" t="str">
            <v>OBNOVA INFRASTRUKTURE I OPREME U PODRUČJU OBRAZOVANJA OŠTEĆENE POTRESOM</v>
          </cell>
          <cell r="E191" t="str">
            <v>0942</v>
          </cell>
        </row>
        <row r="192">
          <cell r="C192" t="str">
            <v>K679119</v>
          </cell>
          <cell r="D192" t="str">
            <v>OBNOVA ZGRADA OŠTEĆENIH U POTRESU S ENERGETSKOM OBNOVOM - NPOO (C6.1.R1-I2)</v>
          </cell>
          <cell r="E192" t="str">
            <v>0942</v>
          </cell>
        </row>
        <row r="193">
          <cell r="C193" t="str">
            <v>K679122</v>
          </cell>
          <cell r="D193" t="str">
            <v>RAZVOJ MREŽE SEIZMOLOŠKIH PODATAKA (C6.1.R4-I1)</v>
          </cell>
          <cell r="E193" t="str">
            <v>0942</v>
          </cell>
        </row>
        <row r="194">
          <cell r="C194" t="str">
            <v>A622000</v>
          </cell>
          <cell r="D194" t="str">
            <v>REDOVNA DJELATNOST JAVNIH INSTITUTA</v>
          </cell>
          <cell r="E194" t="str">
            <v>0150</v>
          </cell>
        </row>
        <row r="195">
          <cell r="C195" t="str">
            <v>A622002</v>
          </cell>
          <cell r="D195" t="str">
            <v>PROGRAM USAVRŠAVANJA ZNANSTVENIH NOVAKA</v>
          </cell>
          <cell r="E195" t="str">
            <v>0150</v>
          </cell>
        </row>
        <row r="196">
          <cell r="C196" t="str">
            <v>A622009</v>
          </cell>
          <cell r="D196" t="str">
            <v>POTICAJ RAZVOJA ZNANOSTI I ULAGANJA U KADROVE - FINANCIRANJE ŠKOLARINA ZA POSLIJEDIPLOMSKI STUDIJ</v>
          </cell>
          <cell r="E196" t="str">
            <v>0150</v>
          </cell>
        </row>
        <row r="197">
          <cell r="C197" t="str">
            <v>A622011</v>
          </cell>
          <cell r="D197" t="str">
            <v>REDOVNA DJELATNOST GEOLOŠKE SLUŽBE</v>
          </cell>
          <cell r="E197" t="str">
            <v>0150</v>
          </cell>
        </row>
        <row r="198">
          <cell r="C198" t="str">
            <v>A622120</v>
          </cell>
          <cell r="D198" t="str">
            <v>PRAVOMOĆNE SUDSKE PRESUDE</v>
          </cell>
          <cell r="E198" t="str">
            <v>0150</v>
          </cell>
        </row>
        <row r="199">
          <cell r="C199" t="str">
            <v>A622125</v>
          </cell>
          <cell r="D199" t="str">
            <v>EU PROJEKTI JAVNIH INSTITUTA (IZ EVIDENCIJSKIH PRIHODA)</v>
          </cell>
          <cell r="E199" t="str">
            <v>0150</v>
          </cell>
        </row>
        <row r="200">
          <cell r="C200" t="str">
            <v>A622132</v>
          </cell>
          <cell r="D200" t="str">
            <v>REDOVNA DJELATNOST JAVNIH INSTITUTA (IZ EVIDENCIJSKIH PRIHODA)</v>
          </cell>
          <cell r="E200" t="str">
            <v>0150</v>
          </cell>
        </row>
        <row r="201">
          <cell r="C201" t="str">
            <v>A622137</v>
          </cell>
          <cell r="D201" t="str">
            <v>PROGRAMSKO FINANCIRANJE JAVNIH ZNANSTVENIH INSTITUTA</v>
          </cell>
          <cell r="E201" t="str">
            <v>0150</v>
          </cell>
        </row>
        <row r="202">
          <cell r="C202" t="str">
            <v>K622128</v>
          </cell>
          <cell r="D202" t="str">
            <v>OP KONKURENTNOST I KOHEZIJA 2014.-2020., PRIORITET 1 i 10</v>
          </cell>
          <cell r="E202" t="str">
            <v>0150</v>
          </cell>
        </row>
        <row r="203">
          <cell r="C203" t="str">
            <v>K622138</v>
          </cell>
          <cell r="D203" t="str">
            <v>OBNOVA INFRASTRUKTURE I OPREME U PODRUČJU OBRAZOVANJA OŠTEĆENE POTRESOM</v>
          </cell>
          <cell r="E203" t="str">
            <v>0150</v>
          </cell>
        </row>
        <row r="204">
          <cell r="C204" t="str">
            <v>K622139</v>
          </cell>
          <cell r="D204" t="str">
            <v>OBNOVA ZGRADA OŠTEĆENIH U POTRESU S ENERGETSKOM OBNOVOM - NPOO (C6.1.R1-I2)</v>
          </cell>
          <cell r="E204" t="str">
            <v>0150</v>
          </cell>
        </row>
        <row r="205">
          <cell r="C205" t="str">
            <v>K622142</v>
          </cell>
          <cell r="D205" t="str">
            <v>RAZVOJ ODRŽIVOG, INOVATIVNOG I OTPORNOG TURIZMA  (C1.6 R1) - NPOO</v>
          </cell>
          <cell r="E205" t="str">
            <v>0150</v>
          </cell>
        </row>
        <row r="206">
          <cell r="C206" t="str">
            <v>A763000</v>
          </cell>
          <cell r="D206" t="str">
            <v>ADMINISTRACIJA I UPRAVLJANJE DRŽAVNOG ZAVODA ZA INTELEKTUALNO VLASNIŠTVO</v>
          </cell>
          <cell r="E206" t="str">
            <v>0150</v>
          </cell>
        </row>
        <row r="207">
          <cell r="C207" t="str">
            <v>T763005</v>
          </cell>
          <cell r="D207" t="str">
            <v>SURADNJA DZIV-a S UREDOM EUROPSKE UNIJE ZA INTELEKTUALNO VLASNIŠTVO (EUIPO)</v>
          </cell>
          <cell r="E207" t="str">
            <v>0150</v>
          </cell>
        </row>
        <row r="208">
          <cell r="C208" t="str">
            <v>A622017</v>
          </cell>
          <cell r="D208" t="str">
            <v>ADMINISTRACIJA I UPRAVLJANJE NACIONALNE SVEUČILIŠNE KNJIŽNICE</v>
          </cell>
          <cell r="E208" t="str">
            <v>0820</v>
          </cell>
        </row>
        <row r="209">
          <cell r="C209" t="str">
            <v>A622131</v>
          </cell>
          <cell r="D209" t="str">
            <v>NABAVA INOZEMNIH ZNANSTVENIH ČASOPISA</v>
          </cell>
          <cell r="E209" t="str">
            <v>0820</v>
          </cell>
        </row>
        <row r="210">
          <cell r="C210" t="str">
            <v>A622134</v>
          </cell>
          <cell r="D210" t="str">
            <v>ADMINISTRACIJA I UPRAVLJANJE NACIONALNE SVEUČILIŠNE KNJIŽNICE (IZ EVIDENCIJSKIH PRIHODA)</v>
          </cell>
          <cell r="E210" t="str">
            <v>0820</v>
          </cell>
        </row>
        <row r="211">
          <cell r="C211" t="str">
            <v>K622116</v>
          </cell>
          <cell r="D211" t="str">
            <v>KNJIGE, UMJETNIČKA DJELA I OSTALE IZLOŽBENE VRIJEDNOSTI</v>
          </cell>
          <cell r="E211" t="str">
            <v>0820</v>
          </cell>
        </row>
        <row r="212">
          <cell r="C212" t="str">
            <v>A628009</v>
          </cell>
          <cell r="D212" t="str">
            <v>ADMINISTRACIJA I UPRAVLJANJE HRVATSKE AKADEMSKE I ISTRAŽIVAČKE MREŽE CARNET</v>
          </cell>
          <cell r="E212" t="str">
            <v>0133</v>
          </cell>
        </row>
        <row r="213">
          <cell r="C213" t="str">
            <v>A628011</v>
          </cell>
          <cell r="D213" t="str">
            <v>PROGRAM TELEKOMUNIKACIJSKIH KAPACITETA ZA MREŽU CARNET</v>
          </cell>
          <cell r="E213" t="str">
            <v>0133</v>
          </cell>
        </row>
        <row r="214">
          <cell r="C214" t="str">
            <v>A628015</v>
          </cell>
          <cell r="D214" t="str">
            <v>UKLJUČIVANJE MREŽE CARNET U PAN-EUROPSKE AKADEMSKE I ISTRAŽIVAČKE MREŽE</v>
          </cell>
          <cell r="E214" t="str">
            <v>0460</v>
          </cell>
        </row>
        <row r="215">
          <cell r="C215" t="str">
            <v>A628068</v>
          </cell>
          <cell r="D215" t="str">
            <v>SUDJELOVANJE NA IZGRADNJI, TESTIRANJU I RAZVOJU OKOSNICE PAN-EUROPSKE RAČUNALNO KOMUNIKACIJSKE MREŽE</v>
          </cell>
          <cell r="E215" t="str">
            <v>0133</v>
          </cell>
        </row>
        <row r="216">
          <cell r="C216" t="str">
            <v>A628070</v>
          </cell>
          <cell r="D216" t="str">
            <v>PROGRAM OBJEDINJAVANJA I ODRŽAVANJA NACIONALNIH INFORMACIJSKIH SERVISA I E-ŠKOLA</v>
          </cell>
          <cell r="E216" t="str">
            <v>0133</v>
          </cell>
        </row>
        <row r="217">
          <cell r="C217" t="str">
            <v>A628074</v>
          </cell>
          <cell r="D217" t="str">
            <v>PROGRAMI ZAJEDNICE</v>
          </cell>
          <cell r="E217" t="str">
            <v>0133</v>
          </cell>
        </row>
        <row r="218">
          <cell r="C218" t="str">
            <v>A628089</v>
          </cell>
          <cell r="D218" t="str">
            <v>JAČANJE KAPACITETA NACIONALNOG CERT-A I POBOLJŠANJE SURADNJE NA HR I EU RAZINI - GROWCERT</v>
          </cell>
          <cell r="E218" t="str">
            <v>0133</v>
          </cell>
        </row>
        <row r="219">
          <cell r="C219" t="str">
            <v>A628089</v>
          </cell>
          <cell r="D219" t="str">
            <v>JAČANJE KAPACITETA NACIONALNOG CERT-A I POBOLJŠANJE SURADNJE NA HR I EU RAZINI - GROWCERT</v>
          </cell>
          <cell r="E219" t="str">
            <v>0970</v>
          </cell>
        </row>
        <row r="220">
          <cell r="C220" t="str">
            <v>A628090</v>
          </cell>
          <cell r="D220" t="str">
            <v>UNAPRJEĐENJE JEDNAKIH MOGUĆNOSTI U OBRAZOVANJU ZA UČENIKE S TEŠKOĆAMA U RAZVOJU</v>
          </cell>
          <cell r="E220" t="str">
            <v>0133</v>
          </cell>
        </row>
        <row r="221">
          <cell r="C221" t="str">
            <v>A628091</v>
          </cell>
          <cell r="D221" t="str">
            <v>OBRAZOVANJE U RURALNIM PODRUČJIMA - LEARNING FROM THE EXTREMES, A RURAL SCHOOLS INNOVATION ROADMAP</v>
          </cell>
          <cell r="E221" t="str">
            <v>0133</v>
          </cell>
        </row>
        <row r="222">
          <cell r="C222" t="str">
            <v>K406669</v>
          </cell>
          <cell r="D222" t="str">
            <v>CARNET - ZAJEDNIČKA RK INFRASTRUKTURA</v>
          </cell>
          <cell r="E222" t="str">
            <v>0133</v>
          </cell>
        </row>
        <row r="223">
          <cell r="C223" t="str">
            <v>K628069</v>
          </cell>
          <cell r="D223" t="str">
            <v>ULAGANJE U OPREMU ZA ODRŽAVANJE NACIONALNIH I INFORMACIJSKIH SERVISA</v>
          </cell>
          <cell r="E223" t="str">
            <v>0133</v>
          </cell>
        </row>
        <row r="224">
          <cell r="C224" t="str">
            <v>K628080</v>
          </cell>
          <cell r="D224" t="str">
            <v>OP KONKURENTNOST I KOHEZIJA 2014.-2020., PRIORITET 9</v>
          </cell>
          <cell r="E224" t="str">
            <v>0970</v>
          </cell>
        </row>
        <row r="225">
          <cell r="C225" t="str">
            <v>K628081</v>
          </cell>
          <cell r="D225" t="str">
            <v>OP UČINKOVITI LJUDSKI POTENCIJALI 2014.-2020., PRIORITET 3 i 4</v>
          </cell>
          <cell r="E225" t="str">
            <v>0970</v>
          </cell>
        </row>
        <row r="226">
          <cell r="C226" t="str">
            <v>K628093</v>
          </cell>
          <cell r="D226" t="str">
            <v>DIGITALNA PREOBRAZBA VISOKOG OBRAZOVANJA E-SVEUČILIŠTA</v>
          </cell>
          <cell r="E226" t="str">
            <v>0133</v>
          </cell>
        </row>
        <row r="227">
          <cell r="C227" t="str">
            <v>A622107</v>
          </cell>
          <cell r="D227" t="str">
            <v>ADMINISTRACIJA I UPRAVLJANJE LEKSIKOGRAFSKOG ZAVODA MIROSLAV KRLEŽA</v>
          </cell>
          <cell r="E227" t="str">
            <v>0150</v>
          </cell>
        </row>
        <row r="228">
          <cell r="C228" t="str">
            <v>A622136</v>
          </cell>
          <cell r="D228" t="str">
            <v>ADMINISTRACIJA I UPRAVLJANJE LEKSIKOGRAFSKOG ZAVODA MIROSLAV KRLEŽA (IZ EVIDENCIJSKIH PRIHODA)</v>
          </cell>
          <cell r="E228" t="str">
            <v>0150</v>
          </cell>
        </row>
        <row r="229">
          <cell r="C229" t="str">
            <v>A628018</v>
          </cell>
          <cell r="D229" t="str">
            <v>ADMINISTRACIJA I UPRAVLJANJE SVEUČILIŠNOG RAČUNSKOG CENTRA SRCE</v>
          </cell>
          <cell r="E229" t="str">
            <v>0133</v>
          </cell>
        </row>
        <row r="230">
          <cell r="C230" t="str">
            <v>A628084</v>
          </cell>
          <cell r="D230" t="str">
            <v>ADMINISTRACIJA I UPRAVLJANJE SVEUČILIŠNOG RAČUNSKOG CENTRA SRCE  (IZ EVIDENCIJSKIH PRIHODA)</v>
          </cell>
          <cell r="E230" t="str">
            <v>0133</v>
          </cell>
        </row>
        <row r="231">
          <cell r="C231" t="str">
            <v>K628055</v>
          </cell>
          <cell r="D231" t="str">
            <v>SRCE -IZRAVNA KAPITALNA ULAGANJA</v>
          </cell>
          <cell r="E231" t="str">
            <v>0133</v>
          </cell>
        </row>
        <row r="232">
          <cell r="C232" t="str">
            <v>K628085</v>
          </cell>
          <cell r="D232" t="str">
            <v>SRCE - IZRAVNA KAPITALNA ULAGANJA  (IZ EVIDENCIJSKIH PRIHODA)</v>
          </cell>
          <cell r="E232" t="str">
            <v>0133</v>
          </cell>
        </row>
        <row r="233">
          <cell r="C233" t="str">
            <v>K628087</v>
          </cell>
          <cell r="D233" t="str">
            <v>OP KONKURENTNOST I KOHEZIJA 2014.-2020., PRIORITETI 1 i 10</v>
          </cell>
          <cell r="E233" t="str">
            <v>0133</v>
          </cell>
        </row>
        <row r="234">
          <cell r="C234" t="str">
            <v>K628094</v>
          </cell>
          <cell r="D234" t="str">
            <v>INFORMACIJSKI SUSTAVI EVIDENCIJA U VISOKOM OBRAZOVANJU - ISEVO</v>
          </cell>
          <cell r="E234" t="str">
            <v>0133</v>
          </cell>
        </row>
        <row r="235">
          <cell r="C235" t="str">
            <v>A580006</v>
          </cell>
          <cell r="D235" t="str">
            <v>STRUČNO USAVRŠAVANJE I IZOBRAZBA UČITELJA I NASTAVNIKA U SREDNJIM ŠKOLAMA I USAVRŠAVANJE ZA PROVEDBU NACIONALNIH PROGRAMA</v>
          </cell>
          <cell r="E235" t="str">
            <v>0970</v>
          </cell>
        </row>
        <row r="236">
          <cell r="C236" t="str">
            <v>A733001</v>
          </cell>
          <cell r="D236" t="str">
            <v>ADMINISTRACIJA I UPRAVLJANJE AGENCIJE ZA ODGOJ I OBRAZOVANJE</v>
          </cell>
          <cell r="E236" t="str">
            <v>0970</v>
          </cell>
        </row>
        <row r="237">
          <cell r="C237" t="str">
            <v>A733027</v>
          </cell>
          <cell r="D237" t="str">
            <v>STRUČNO USAVRŠAVANJE U OKVIRU ŽUPANIJSKIH STRUČNIH VIJEĆA</v>
          </cell>
          <cell r="E237" t="str">
            <v>0970</v>
          </cell>
        </row>
        <row r="238">
          <cell r="C238" t="str">
            <v>A733032</v>
          </cell>
          <cell r="D238" t="str">
            <v>IZVANNASTAVNE AKTIVNOSTI U OSNOVNIM I SREDNJIM ŠKOLAMA-NATJECANJE</v>
          </cell>
          <cell r="E238" t="str">
            <v>0970</v>
          </cell>
        </row>
        <row r="239">
          <cell r="C239" t="str">
            <v>A733058</v>
          </cell>
          <cell r="D239" t="str">
            <v>STRUČNO USAVRŠAVANJE UČITELJA I NASTAVNIKA TALIJANSKOG JEZIKA</v>
          </cell>
          <cell r="E239" t="str">
            <v>0970</v>
          </cell>
        </row>
        <row r="240">
          <cell r="C240" t="str">
            <v>A767022</v>
          </cell>
          <cell r="D240" t="str">
            <v>STRUČNO USAVRŠAVANJE ODGOJNO-OBRAZOVNIH DJELATNIKA U SUSTAVU OSNOVNOG I SREDNJEG ŠKOLSTVA</v>
          </cell>
          <cell r="E240" t="str">
            <v>0970</v>
          </cell>
        </row>
        <row r="241">
          <cell r="C241" t="str">
            <v>K733068</v>
          </cell>
          <cell r="D241" t="str">
            <v>OP UČINKOVITI LJUDSKI POTENCIJALI 2014.-2020. PRIORITET 3</v>
          </cell>
          <cell r="E241" t="str">
            <v>0970</v>
          </cell>
        </row>
        <row r="242">
          <cell r="C242" t="str">
            <v>K767054</v>
          </cell>
          <cell r="D242" t="str">
            <v>OP UČINKOVITI LJUDSKI POTENCIJALI 2014.-2020., PRIORITET 3</v>
          </cell>
          <cell r="E242" t="str">
            <v>0970</v>
          </cell>
        </row>
        <row r="243">
          <cell r="C243" t="str">
            <v>A621155</v>
          </cell>
          <cell r="D243" t="str">
            <v>ADMINISTRACIJA I UPRAVLJANJE AGENCIJE ZA ZNANOST I VISOKO OBRAZOVANJE</v>
          </cell>
          <cell r="E243" t="str">
            <v>0942</v>
          </cell>
        </row>
        <row r="244">
          <cell r="C244" t="str">
            <v>A621179</v>
          </cell>
          <cell r="D244" t="str">
            <v>TROŠKOVI NACIONALNOG VIJEĆA ZA ZNANOST I VISOKO OBRAZOVANJE</v>
          </cell>
          <cell r="E244" t="str">
            <v>0150</v>
          </cell>
        </row>
        <row r="245">
          <cell r="C245" t="str">
            <v>A621179</v>
          </cell>
          <cell r="D245" t="str">
            <v>TROŠKOVI NACIONALNOG VIJEĆA ZA ZNANOST I VISOKO OBRAZOVANJE</v>
          </cell>
          <cell r="E245" t="str">
            <v>0942</v>
          </cell>
        </row>
        <row r="246">
          <cell r="C246" t="str">
            <v>A621182</v>
          </cell>
          <cell r="D246" t="str">
            <v>VIJEĆE VELEUČILIŠTA I VISOKIH ŠKOLA</v>
          </cell>
          <cell r="E246" t="str">
            <v>0942</v>
          </cell>
        </row>
        <row r="247">
          <cell r="C247" t="str">
            <v>A621186</v>
          </cell>
          <cell r="D247" t="str">
            <v>VREDNOVANJE ZNANSTVENIH ORGANIZACIJA</v>
          </cell>
          <cell r="E247" t="str">
            <v>0942</v>
          </cell>
        </row>
        <row r="248">
          <cell r="C248" t="str">
            <v>A621187</v>
          </cell>
          <cell r="D248" t="str">
            <v>VREDNOVANJE VISOKIH UČILIŠTA</v>
          </cell>
          <cell r="E248" t="str">
            <v>0942</v>
          </cell>
        </row>
        <row r="249">
          <cell r="C249" t="str">
            <v>A621190</v>
          </cell>
          <cell r="D249" t="str">
            <v>VANJSKA PROSUDBA SUSTAVA OSIGURANJA KVALITETE VISOKIH UČILIŠTA I ZNANSTVENIH ORGANIZACIJA (VP)</v>
          </cell>
          <cell r="E249" t="str">
            <v>0942</v>
          </cell>
        </row>
        <row r="250">
          <cell r="C250" t="str">
            <v>A621191</v>
          </cell>
          <cell r="D250" t="str">
            <v>PRAĆENJE ZAPOŠLJAVANJA DIPLOMIRANIH STUDENATA</v>
          </cell>
          <cell r="E250" t="str">
            <v>0942</v>
          </cell>
        </row>
        <row r="251">
          <cell r="C251" t="str">
            <v>A621192</v>
          </cell>
          <cell r="D251" t="str">
            <v>TROŠKOVI SREDIŠNJEG PRIJAVNOG UREDA</v>
          </cell>
          <cell r="E251" t="str">
            <v>0942</v>
          </cell>
        </row>
        <row r="252">
          <cell r="C252" t="str">
            <v>A867002</v>
          </cell>
          <cell r="D252" t="str">
            <v>USKLAĐIVANJE PRISTUPA STRUKOVNOG VISOKOG OBRAZOVANJA U EUROPI - EURASHE</v>
          </cell>
          <cell r="E252" t="str">
            <v>0942</v>
          </cell>
        </row>
        <row r="253">
          <cell r="C253" t="str">
            <v>A867004</v>
          </cell>
          <cell r="D253" t="str">
            <v>ODBOR ZA ETIKU U ZNANOSTI I VISOKOM OBRAZOVANJU</v>
          </cell>
          <cell r="E253" t="str">
            <v>0942</v>
          </cell>
        </row>
        <row r="254">
          <cell r="C254" t="str">
            <v>A867009</v>
          </cell>
          <cell r="D254" t="str">
            <v>ERASMUS PLUS - MODERNIZACIJA VISOKIH UČILIŠTA PUTEM UNAPRJEĐENJA FUNKCIJE UPRAVLJANJA LJUDSKIM POTENCIJALIMA</v>
          </cell>
          <cell r="E254" t="str">
            <v>0942</v>
          </cell>
        </row>
        <row r="255">
          <cell r="C255" t="str">
            <v>A867010</v>
          </cell>
          <cell r="D255" t="str">
            <v>MODERNIZACIJA, OBRAZOVANJE I LJUDSKA PRAVA (MEHR)</v>
          </cell>
          <cell r="E255" t="str">
            <v>0942</v>
          </cell>
        </row>
        <row r="256">
          <cell r="C256" t="str">
            <v>A867013</v>
          </cell>
          <cell r="D256" t="str">
            <v>ERASMUS PLUS - BAZA PODATAKA REZULTATA VANJSKIH VREDNOVANJA</v>
          </cell>
          <cell r="E256" t="str">
            <v>0942</v>
          </cell>
        </row>
        <row r="257">
          <cell r="C257" t="str">
            <v>A867014</v>
          </cell>
          <cell r="D257" t="str">
            <v>ERASMUS - JAČANJE MULTIPARTNERSKE SURADNJE U PRUŽANJU USLUGA CJELOŽIVOTNOG PROFESIONALNOG USMJERAVANJA - KEEP IN PACT</v>
          </cell>
          <cell r="E257" t="str">
            <v>0942</v>
          </cell>
        </row>
        <row r="258">
          <cell r="C258" t="str">
            <v>A867015</v>
          </cell>
          <cell r="D258" t="str">
            <v>ERASMUS PLUS - ALOCIRANJE KREDITNIH BODOVA U EUROPSKIM STRUČNIM PROGRAMIMA - ACEPT</v>
          </cell>
          <cell r="E258" t="str">
            <v>0942</v>
          </cell>
        </row>
        <row r="259">
          <cell r="C259" t="str">
            <v>A867016</v>
          </cell>
          <cell r="D259" t="str">
            <v>ERASMUS PLUS - KATALOG ONLINE PROGRAMA I BAZE PODATAKA ZA VIDLJIVOST I PRIZNAVANJE -OCTRA</v>
          </cell>
          <cell r="E259" t="str">
            <v>0942</v>
          </cell>
        </row>
        <row r="260">
          <cell r="C260" t="str">
            <v>A867017</v>
          </cell>
          <cell r="D260" t="str">
            <v>ERASMUS PLUS - AUTOMATSKO PRIZNAVANJE U JADRANSKOJ REGIJI - ADREN</v>
          </cell>
          <cell r="E260" t="str">
            <v>0942</v>
          </cell>
        </row>
        <row r="261">
          <cell r="C261" t="str">
            <v>A867018</v>
          </cell>
          <cell r="D261" t="str">
            <v>PRIMJENA HRVATSKOG KVALIFIKACIJSKOG OKVIRA U VISOKOM OBRAZOVANJU</v>
          </cell>
          <cell r="E261" t="str">
            <v>0942</v>
          </cell>
        </row>
        <row r="262">
          <cell r="C262" t="str">
            <v>K621178</v>
          </cell>
          <cell r="D262" t="str">
            <v>OPREMANJE I UREĐENJE AGENCIJE ZA ZNANOST I VISOKO OBRAZOVANJE</v>
          </cell>
          <cell r="E262" t="str">
            <v>0942</v>
          </cell>
        </row>
        <row r="263">
          <cell r="C263" t="str">
            <v>K621194</v>
          </cell>
          <cell r="D263" t="str">
            <v>NACIONALNI INFORMACIJSKI SUSTAV PRIJAVA NA VISOKA UČILIŠTA - NISpVU</v>
          </cell>
          <cell r="E263" t="str">
            <v>0942</v>
          </cell>
        </row>
        <row r="264">
          <cell r="C264" t="str">
            <v>K867008</v>
          </cell>
          <cell r="D264" t="str">
            <v>OP UČINKOVITI LJUDSKI POTENCIJALI 2014.-2020., PRIORITET 3</v>
          </cell>
          <cell r="E264" t="str">
            <v>0942</v>
          </cell>
        </row>
        <row r="265">
          <cell r="C265" t="str">
            <v>A580046</v>
          </cell>
          <cell r="D265" t="str">
            <v>ADMINISTRACIJA I UPRAVLJANJE NACIONALNOG CENTRA ZA VANJSKO VREDNOVANJE OBRAZOVANJA</v>
          </cell>
          <cell r="E265" t="str">
            <v>0970</v>
          </cell>
        </row>
        <row r="266">
          <cell r="C266" t="str">
            <v>A814000</v>
          </cell>
          <cell r="D266" t="str">
            <v>MEĐUNARODNI PROJEKTI VREDNOVANJA ZNANJA I VJEŠTINA (IEA: ICCS, ICILS, PIRLS, TIMSS - OECD: PISA, TALIS)</v>
          </cell>
          <cell r="E266" t="str">
            <v>0970</v>
          </cell>
        </row>
        <row r="267">
          <cell r="C267" t="str">
            <v>A814001</v>
          </cell>
          <cell r="D267" t="str">
            <v>DRŽAVNA MATURA</v>
          </cell>
          <cell r="E267" t="str">
            <v>0970</v>
          </cell>
        </row>
        <row r="268">
          <cell r="C268" t="str">
            <v>A814003</v>
          </cell>
          <cell r="D268" t="str">
            <v>NACIONALNI ISPITI</v>
          </cell>
          <cell r="E268" t="str">
            <v>0970</v>
          </cell>
        </row>
        <row r="269">
          <cell r="C269" t="str">
            <v>A814007</v>
          </cell>
          <cell r="D269" t="str">
            <v>UNAPREĐENJE KVALITETE OBRAZOVNOG SUSTAVA</v>
          </cell>
          <cell r="E269" t="str">
            <v>0970</v>
          </cell>
        </row>
        <row r="270">
          <cell r="C270" t="str">
            <v>K814011</v>
          </cell>
          <cell r="D270" t="str">
            <v>OP UČINKOVITI LJUDSKI POTENCIJALI, PRIORITET 10</v>
          </cell>
          <cell r="E270" t="str">
            <v>0970</v>
          </cell>
        </row>
        <row r="271">
          <cell r="C271" t="str">
            <v>K814012</v>
          </cell>
          <cell r="D271" t="str">
            <v>OP UČNIKOVITI LJUDSKI POTENCIJALI 2014.-2020., PRIORITET 3</v>
          </cell>
          <cell r="E271" t="str">
            <v>0970</v>
          </cell>
        </row>
        <row r="272">
          <cell r="C272" t="str">
            <v>A589088</v>
          </cell>
          <cell r="D272" t="str">
            <v>ADMINISTRACIJA I UPRAVLJANJE AGENCIJE ZA MOBILNOST I EU PROGRAME</v>
          </cell>
          <cell r="E272" t="str">
            <v>0970</v>
          </cell>
        </row>
        <row r="273">
          <cell r="C273" t="str">
            <v>A589091</v>
          </cell>
          <cell r="D273" t="str">
            <v>DJELATNOST HRVATSKE MREŽE ZA MOBILNOST ISTRAŽIVAČA (FP7 Ad hoc-2007-13)</v>
          </cell>
          <cell r="E273" t="str">
            <v>0970</v>
          </cell>
        </row>
        <row r="274">
          <cell r="C274" t="str">
            <v>A818017</v>
          </cell>
          <cell r="D274" t="str">
            <v>PROVOĐENJE MREŽNIH PROJEKATA IZ OBZOR 2020.PROGRAMA</v>
          </cell>
          <cell r="E274" t="str">
            <v>0970</v>
          </cell>
        </row>
        <row r="275">
          <cell r="C275" t="str">
            <v>A818022</v>
          </cell>
          <cell r="D275" t="str">
            <v>PROVEDBA EUROPASS INICIJATIVE</v>
          </cell>
          <cell r="E275" t="str">
            <v>0970</v>
          </cell>
        </row>
        <row r="276">
          <cell r="C276" t="str">
            <v>A818023</v>
          </cell>
          <cell r="D276" t="str">
            <v>PROVEDBA EURODESK MREŽE</v>
          </cell>
          <cell r="E276" t="str">
            <v>0970</v>
          </cell>
        </row>
        <row r="277">
          <cell r="C277" t="str">
            <v>A818024</v>
          </cell>
          <cell r="D277" t="str">
            <v>PROVEDBA E-TWINNING MREŽE</v>
          </cell>
          <cell r="E277" t="str">
            <v>0970</v>
          </cell>
        </row>
        <row r="278">
          <cell r="C278" t="str">
            <v>A818025</v>
          </cell>
          <cell r="D278" t="str">
            <v>PROVEDBA EUROGUIDANCE MREŽE</v>
          </cell>
          <cell r="E278" t="str">
            <v>0970</v>
          </cell>
        </row>
        <row r="279">
          <cell r="C279" t="str">
            <v>A818032</v>
          </cell>
          <cell r="D279" t="str">
            <v>STRUČNA SKUPINA ZA ECVET</v>
          </cell>
          <cell r="E279" t="str">
            <v>0970</v>
          </cell>
        </row>
        <row r="280">
          <cell r="C280" t="str">
            <v>A818033</v>
          </cell>
          <cell r="D280" t="str">
            <v>ZNANSTVENA I VISOKOŠKOLSKA MOBILNOST</v>
          </cell>
          <cell r="E280" t="str">
            <v>0970</v>
          </cell>
        </row>
        <row r="281">
          <cell r="C281" t="str">
            <v>A818042</v>
          </cell>
          <cell r="D281" t="str">
            <v>OBZOR EUROPA I MOBILNOST ISTRAŽIVAČA</v>
          </cell>
          <cell r="E281" t="str">
            <v>0970</v>
          </cell>
        </row>
        <row r="282">
          <cell r="C282" t="str">
            <v>A818043</v>
          </cell>
          <cell r="D282" t="str">
            <v>ERASMUS PLUS PROVEDBA PROGRAMA OD 2014. DO 2020.</v>
          </cell>
          <cell r="E282" t="str">
            <v>0970</v>
          </cell>
        </row>
        <row r="283">
          <cell r="C283" t="str">
            <v>A818044</v>
          </cell>
          <cell r="D283" t="str">
            <v>ERASMUS PLUS – PROJEKTI ZA KORISNIKE OBRAZOVANJE OD 2014. DO 2020.</v>
          </cell>
          <cell r="E283" t="str">
            <v>0970</v>
          </cell>
        </row>
        <row r="284">
          <cell r="C284" t="str">
            <v>A818045</v>
          </cell>
          <cell r="D284" t="str">
            <v>ERASMUS PLUS – PROJEKTI ZA KORISNIKE MLADI OD 2014. DO 2020.</v>
          </cell>
          <cell r="E284" t="str">
            <v>0970</v>
          </cell>
        </row>
        <row r="285">
          <cell r="C285" t="str">
            <v>A818055</v>
          </cell>
          <cell r="D285" t="str">
            <v>PORTAL STUDY IN CROATIA</v>
          </cell>
          <cell r="E285" t="str">
            <v>0970</v>
          </cell>
        </row>
        <row r="286">
          <cell r="C286" t="str">
            <v>A818058</v>
          </cell>
          <cell r="D286" t="str">
            <v>EUROPSKE SNAGE SOLIDARNOSTI PROVEDBA PROGRAMA 2018. DO 2020.</v>
          </cell>
          <cell r="E286" t="str">
            <v>0970</v>
          </cell>
        </row>
        <row r="287">
          <cell r="C287" t="str">
            <v>A818059</v>
          </cell>
          <cell r="D287" t="str">
            <v>EUROPSKE SNAGE SOLIDARNOSTI - PROJEKTI ZA KORISNIKE OD 2018. DO 2020.</v>
          </cell>
          <cell r="E287" t="str">
            <v>0970</v>
          </cell>
        </row>
        <row r="288">
          <cell r="C288" t="str">
            <v>A818060</v>
          </cell>
          <cell r="D288" t="str">
            <v>EURYDICE EUROPSKA MREŽA ZA PODATKE I ANALIZE O SUSTAVIMA OBRAZOVANJA</v>
          </cell>
          <cell r="E288" t="str">
            <v>0970</v>
          </cell>
        </row>
        <row r="289">
          <cell r="C289" t="str">
            <v>A818061</v>
          </cell>
          <cell r="D289" t="str">
            <v>ERASMUS PLUS - SUFINANCIRANJE – DIO PROVEDBE MLADI</v>
          </cell>
          <cell r="E289" t="str">
            <v>0970</v>
          </cell>
        </row>
        <row r="290">
          <cell r="C290" t="str">
            <v>A818063</v>
          </cell>
          <cell r="D290" t="str">
            <v>EUROPSKE SNAGE SOLIDARNOSTI - PROJEKTI ZA KORISNIKE OD 2021. DO 2027.</v>
          </cell>
          <cell r="E290" t="str">
            <v>0970</v>
          </cell>
        </row>
        <row r="291">
          <cell r="C291" t="str">
            <v>A818064</v>
          </cell>
          <cell r="D291" t="str">
            <v>ERASMUS - PROJEKTI  ZA KORISNIKE OBRAZOVANJE OD 2021. DO 2027.</v>
          </cell>
          <cell r="E291" t="str">
            <v>0970</v>
          </cell>
        </row>
        <row r="292">
          <cell r="C292" t="str">
            <v>A818065</v>
          </cell>
          <cell r="D292" t="str">
            <v>ERASMUS - PROJEKTI ZA KORISNIKE MLADI OD 2021. DO 2027.</v>
          </cell>
          <cell r="E292" t="str">
            <v>0970</v>
          </cell>
        </row>
        <row r="293">
          <cell r="C293" t="str">
            <v>A818070</v>
          </cell>
          <cell r="D293" t="str">
            <v>PROVEDBA EUROPASS I EUROGUIDANCE</v>
          </cell>
          <cell r="E293" t="str">
            <v>0970</v>
          </cell>
        </row>
        <row r="294">
          <cell r="C294" t="str">
            <v>A818071</v>
          </cell>
          <cell r="D294" t="str">
            <v>VET RADNA SKUPINA</v>
          </cell>
          <cell r="E294" t="str">
            <v>0970</v>
          </cell>
        </row>
        <row r="295">
          <cell r="C295" t="str">
            <v>A848001</v>
          </cell>
          <cell r="D295" t="str">
            <v>ADMINISTRACIJA I UPRAVLJANJE AGENCIJE ZA STRUKOVNO OBRAZOVANJE I  OBRAZOVANJE ODRASLIH</v>
          </cell>
          <cell r="E295" t="str">
            <v>0950</v>
          </cell>
        </row>
        <row r="296">
          <cell r="C296" t="str">
            <v>A848001</v>
          </cell>
          <cell r="D296" t="str">
            <v>ADMINISTRACIJA I UPRAVLJANJE AGENCIJE ZA STRUKOVNO OBRAZOVANJE I  OBRAZOVANJE ODRASLIH</v>
          </cell>
          <cell r="E296" t="str">
            <v>0970</v>
          </cell>
        </row>
        <row r="297">
          <cell r="C297" t="str">
            <v>A848009</v>
          </cell>
          <cell r="D297" t="str">
            <v>PROMICANJE KULTURE UČENJA: TJEDAN CJELOŽIVOTNOG UČENJA</v>
          </cell>
          <cell r="E297" t="str">
            <v>0970</v>
          </cell>
        </row>
        <row r="298">
          <cell r="C298" t="str">
            <v>A848010</v>
          </cell>
          <cell r="D298" t="str">
            <v>STRUČNO SAVJETODAVNA DJELATNOST</v>
          </cell>
          <cell r="E298" t="str">
            <v>0970</v>
          </cell>
        </row>
        <row r="299">
          <cell r="C299" t="str">
            <v>A848014</v>
          </cell>
          <cell r="D299" t="str">
            <v>RAZVOJ SUSTAVA STRUKOVNOG OBRAZOVANJA</v>
          </cell>
          <cell r="E299" t="str">
            <v>0970</v>
          </cell>
        </row>
        <row r="300">
          <cell r="C300" t="str">
            <v>A848018</v>
          </cell>
          <cell r="D300" t="str">
            <v>DRŽAVNA NATJECANJA</v>
          </cell>
          <cell r="E300" t="str">
            <v>0970</v>
          </cell>
        </row>
        <row r="301">
          <cell r="C301" t="str">
            <v>A848020</v>
          </cell>
          <cell r="D301" t="str">
            <v>RAZVOJ SUSTAVA OBRAZOVANJA ODRASLIH</v>
          </cell>
          <cell r="E301" t="str">
            <v>0970</v>
          </cell>
        </row>
        <row r="302">
          <cell r="C302" t="str">
            <v>A848023</v>
          </cell>
          <cell r="D302" t="str">
            <v>REFERNET U REPUBLICI HRVATSKOJ</v>
          </cell>
          <cell r="E302" t="str">
            <v>0970</v>
          </cell>
        </row>
        <row r="303">
          <cell r="C303" t="str">
            <v>A848039</v>
          </cell>
          <cell r="D303" t="str">
            <v>NACIONALNA REFERENTNA TOČKA ZA EUROPSKI SUSTAV OSIGURANJA KVALITETE U STRUKOVNOM OBRAZOVANJU I OSPOSOBLJAVANJU - EQAVET NRP</v>
          </cell>
          <cell r="E303" t="str">
            <v>0970</v>
          </cell>
        </row>
        <row r="304">
          <cell r="C304" t="str">
            <v>A848041</v>
          </cell>
          <cell r="D304" t="str">
            <v>ERASMUS PLUS - PROVEDBA ISTRAŽIVANJA KOMPETENCIJA ODRASLIH OSOBA U REPUBLICI HRVATSKOJ - PIAAC HRVATSKA</v>
          </cell>
          <cell r="E304" t="str">
            <v>0950</v>
          </cell>
        </row>
        <row r="305">
          <cell r="C305" t="str">
            <v>A848041</v>
          </cell>
          <cell r="D305" t="str">
            <v>ERASMUS PLUS - PROVEDBA ISTRAŽIVANJA KOMPETENCIJA ODRASLIH OSOBA U REPUBLICI HRVATSKOJ - PIAAC HRVATSKA</v>
          </cell>
          <cell r="E305" t="str">
            <v>0970</v>
          </cell>
        </row>
        <row r="306">
          <cell r="C306" t="str">
            <v>A848042</v>
          </cell>
          <cell r="D306" t="str">
            <v>EPALE - NACIONALNA SLUŽBA ZA PODRŠKU ZA REPUBLIKU HRVATSKU 2019.-2020. (EPALE IV)</v>
          </cell>
          <cell r="E306" t="str">
            <v>0970</v>
          </cell>
        </row>
        <row r="307">
          <cell r="C307" t="str">
            <v>A848043</v>
          </cell>
          <cell r="D307" t="str">
            <v>ERASMUS PLUS - UNAPREĐENJE VJEŠTINA U STRUKOVNOM OBRAZOVANJU I OSPOSOBLJAVANJU - IMPROVET</v>
          </cell>
          <cell r="E307" t="str">
            <v>0970</v>
          </cell>
        </row>
        <row r="308">
          <cell r="C308" t="str">
            <v>A848045</v>
          </cell>
          <cell r="D308" t="str">
            <v>ERASMUS PLUS - KA2 - TRENING ZA VJEŠTINE U VIRTUALNOM OKRUŽENJU</v>
          </cell>
          <cell r="E308" t="str">
            <v>0970</v>
          </cell>
        </row>
        <row r="309">
          <cell r="C309" t="str">
            <v>A848046</v>
          </cell>
          <cell r="D309" t="str">
            <v>ERASMUS PLUS - PILOTIRANJE VIRTUALNOG PRAKTIČNOG TEČAJA ZA KUHARSTVO U STRUKOVNOM OBRAZOVANJU</v>
          </cell>
          <cell r="E309" t="str">
            <v>0970</v>
          </cell>
        </row>
        <row r="310">
          <cell r="C310" t="str">
            <v>A848047</v>
          </cell>
          <cell r="D310" t="str">
            <v>ERASMUS PLUS - KA - INKLUZIVNO DIGITALNO UČENJE U SVRHU SPREČAVANJA NAPUŠTANJA ŠKOLOVANJA U STRUKOVNOM OBRAZOVANJU I OSPOSOBLJAVANJU - 2BDIGITAL</v>
          </cell>
          <cell r="E310" t="str">
            <v>0970</v>
          </cell>
        </row>
        <row r="311">
          <cell r="C311" t="str">
            <v>A848048</v>
          </cell>
          <cell r="D311" t="str">
            <v>EPALE - NACIONALNA SLUŽBA ZA PODRŠKU ZA REPUBLIKU HRVATSKU 2022.-2024. (EPALE V)</v>
          </cell>
          <cell r="E311" t="str">
            <v>0970</v>
          </cell>
        </row>
        <row r="312">
          <cell r="C312" t="str">
            <v>K848038</v>
          </cell>
          <cell r="D312" t="str">
            <v>OP UČINKOVITI LJUDSKI POTENCIJALI 2014.-2020., PRIORITET 3</v>
          </cell>
          <cell r="E312" t="str">
            <v>0950</v>
          </cell>
        </row>
        <row r="313">
          <cell r="C313" t="str">
            <v>T848027</v>
          </cell>
          <cell r="D313" t="str">
            <v>OP UČINKOVITI LJUDSKI POTENCIJALI 2014. - 2020., PRIORITET 5</v>
          </cell>
          <cell r="E313" t="str">
            <v>0950</v>
          </cell>
        </row>
        <row r="314">
          <cell r="C314" t="str">
            <v>A557042</v>
          </cell>
          <cell r="D314" t="str">
            <v>PROGRAM DOKTORANADA I POSLIJEDOKTORANADA HRVATSKE ZAKLADE ZA ZNANOST</v>
          </cell>
          <cell r="E314" t="str">
            <v>0150</v>
          </cell>
        </row>
        <row r="315">
          <cell r="C315" t="str">
            <v>A578055</v>
          </cell>
          <cell r="D315" t="str">
            <v>HRVATSKO-ŠVICARSKI ISTRAŽIVAČKI PROGRAM</v>
          </cell>
          <cell r="E315" t="str">
            <v>0150</v>
          </cell>
        </row>
        <row r="316">
          <cell r="C316" t="str">
            <v>A578069</v>
          </cell>
          <cell r="D316" t="str">
            <v>ADMINISTRACIJA I UPRAVLJANJE HRVATSKE ZAKLADE ZA ZNANOST</v>
          </cell>
          <cell r="E316" t="str">
            <v>0150</v>
          </cell>
        </row>
        <row r="317">
          <cell r="C317" t="str">
            <v>A578071</v>
          </cell>
          <cell r="D317" t="str">
            <v>OBZOR ERA-NET QUANTERA</v>
          </cell>
          <cell r="E317" t="str">
            <v>0150</v>
          </cell>
        </row>
        <row r="318">
          <cell r="C318" t="str">
            <v>A578072</v>
          </cell>
          <cell r="D318" t="str">
            <v>OBZOR ERA-NET CHANSE</v>
          </cell>
          <cell r="E318" t="str">
            <v>0150</v>
          </cell>
        </row>
        <row r="319">
          <cell r="C319" t="str">
            <v>A621048</v>
          </cell>
          <cell r="D319" t="str">
            <v>PROJEKTNO FINANCIRANJE ZNANSTVENE DJELATNOSTI</v>
          </cell>
          <cell r="E319" t="str">
            <v>0150</v>
          </cell>
        </row>
        <row r="320">
          <cell r="C320" t="str">
            <v>A733055</v>
          </cell>
          <cell r="D320" t="str">
            <v>PROGRAM IZVRSNOSTI U VISOKOM OBRAZOVANJU - TENURE-TRACK</v>
          </cell>
          <cell r="E320" t="str">
            <v>0150</v>
          </cell>
        </row>
        <row r="321">
          <cell r="C321" t="str">
            <v>A733070</v>
          </cell>
          <cell r="D321" t="str">
            <v>OBZOR ERA-NET QUANTERA II</v>
          </cell>
          <cell r="E321" t="str">
            <v>0150</v>
          </cell>
        </row>
        <row r="322">
          <cell r="C322" t="str">
            <v>A733071</v>
          </cell>
          <cell r="D322" t="str">
            <v>OBZOR ERA-NET BLUEBIOECONOMY</v>
          </cell>
          <cell r="E322" t="str">
            <v>0150</v>
          </cell>
        </row>
        <row r="323">
          <cell r="C323" t="str">
            <v>A733072</v>
          </cell>
          <cell r="D323" t="str">
            <v>OBZOR ERA-NET PROGRAMI I PARTNERSTVA</v>
          </cell>
          <cell r="E323" t="str">
            <v>0150</v>
          </cell>
        </row>
        <row r="324">
          <cell r="C324" t="str">
            <v>K733069</v>
          </cell>
          <cell r="D324" t="str">
            <v>OP UČINKOVITI LJUDSKI POTENCIJALI 2014.-2020., PRIORITET 3</v>
          </cell>
          <cell r="E324" t="str">
            <v>0150</v>
          </cell>
        </row>
      </sheetData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Unos prijenosa"/>
      <sheetName val="A.1 PRIHODI"/>
      <sheetName val="A.2 RASHODI"/>
      <sheetName val="A.3 RASHODI IF"/>
      <sheetName val="A.4 RASHODI FUNK"/>
      <sheetName val="B. RAČUN FIN"/>
      <sheetName val="AKT"/>
      <sheetName val="p4"/>
      <sheetName val="prihodi"/>
      <sheetName val="KORISNICI D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F584-4FC1-4AA9-BB1F-694ABEF8A067}">
  <dimension ref="A1:K22"/>
  <sheetViews>
    <sheetView workbookViewId="0">
      <selection activeCell="G21" sqref="G21"/>
    </sheetView>
  </sheetViews>
  <sheetFormatPr defaultColWidth="8.85546875" defaultRowHeight="15.75"/>
  <cols>
    <col min="1" max="4" width="8.85546875" style="1" customWidth="1"/>
    <col min="5" max="5" width="22.85546875" style="1" customWidth="1"/>
    <col min="6" max="8" width="15.28515625" style="1" customWidth="1"/>
    <col min="9" max="11" width="12.7109375" style="1" bestFit="1" customWidth="1"/>
    <col min="12" max="12" width="8.85546875" style="1" customWidth="1"/>
    <col min="13" max="16384" width="8.85546875" style="1"/>
  </cols>
  <sheetData>
    <row r="1" spans="1:11" ht="40.5" customHeight="1">
      <c r="A1" s="332" t="s">
        <v>0</v>
      </c>
      <c r="B1" s="332"/>
      <c r="C1" s="332"/>
      <c r="D1" s="332"/>
      <c r="E1" s="332"/>
      <c r="F1" s="332"/>
      <c r="G1" s="332"/>
      <c r="H1" s="332"/>
    </row>
    <row r="2" spans="1:11" ht="24" customHeight="1">
      <c r="A2" s="321" t="s">
        <v>1</v>
      </c>
      <c r="B2" s="321"/>
      <c r="C2" s="321"/>
      <c r="D2" s="321"/>
      <c r="E2" s="321"/>
      <c r="F2" s="321"/>
      <c r="G2" s="321"/>
      <c r="H2" s="321"/>
    </row>
    <row r="3" spans="1:11" ht="47.25">
      <c r="A3" s="333" t="s">
        <v>2</v>
      </c>
      <c r="B3" s="333"/>
      <c r="C3" s="333"/>
      <c r="D3" s="333"/>
      <c r="E3" s="333"/>
      <c r="F3" s="2" t="s">
        <v>3</v>
      </c>
      <c r="G3" s="2" t="s">
        <v>4</v>
      </c>
      <c r="H3" s="2" t="s">
        <v>5</v>
      </c>
    </row>
    <row r="4" spans="1:11" ht="28.15" customHeight="1">
      <c r="A4" s="334" t="s">
        <v>6</v>
      </c>
      <c r="B4" s="334"/>
      <c r="C4" s="334"/>
      <c r="D4" s="334"/>
      <c r="E4" s="334"/>
      <c r="F4" s="3">
        <f t="shared" ref="F4:H4" si="0">SUM(F5:F6)</f>
        <v>15082987.372752007</v>
      </c>
      <c r="G4" s="3">
        <f t="shared" si="0"/>
        <v>15477342</v>
      </c>
      <c r="H4" s="3">
        <f t="shared" si="0"/>
        <v>5872985.1699999999</v>
      </c>
    </row>
    <row r="5" spans="1:11" ht="28.15" customHeight="1">
      <c r="A5" s="318" t="s">
        <v>7</v>
      </c>
      <c r="B5" s="318"/>
      <c r="C5" s="318"/>
      <c r="D5" s="318"/>
      <c r="E5" s="318"/>
      <c r="F5" s="4">
        <v>15016890.08693344</v>
      </c>
      <c r="G5" s="4">
        <v>15477342</v>
      </c>
      <c r="H5" s="4">
        <v>5872985.1699999999</v>
      </c>
      <c r="I5" s="5"/>
      <c r="J5" s="5"/>
    </row>
    <row r="6" spans="1:11" ht="28.15" customHeight="1">
      <c r="A6" s="319" t="s">
        <v>8</v>
      </c>
      <c r="B6" s="319"/>
      <c r="C6" s="319"/>
      <c r="D6" s="319"/>
      <c r="E6" s="319"/>
      <c r="F6" s="6">
        <v>66097.285818567922</v>
      </c>
      <c r="G6" s="6">
        <v>0</v>
      </c>
      <c r="H6" s="6">
        <v>0</v>
      </c>
    </row>
    <row r="7" spans="1:11" ht="28.15" customHeight="1">
      <c r="A7" s="317" t="s">
        <v>9</v>
      </c>
      <c r="B7" s="317"/>
      <c r="C7" s="317"/>
      <c r="D7" s="317"/>
      <c r="E7" s="317"/>
      <c r="F7" s="7">
        <f>SUM(F8:F9)</f>
        <v>13189841.08832703</v>
      </c>
      <c r="G7" s="7">
        <f>SUM(G8:G9)</f>
        <v>14753392</v>
      </c>
      <c r="H7" s="7">
        <f>SUM(H8:H9)</f>
        <v>6990954.7499999991</v>
      </c>
    </row>
    <row r="8" spans="1:11" ht="28.15" customHeight="1">
      <c r="A8" s="318" t="s">
        <v>10</v>
      </c>
      <c r="B8" s="318"/>
      <c r="C8" s="318"/>
      <c r="D8" s="318"/>
      <c r="E8" s="318"/>
      <c r="F8" s="8">
        <v>12180959.942929193</v>
      </c>
      <c r="G8" s="8">
        <v>13618735</v>
      </c>
      <c r="H8" s="8">
        <f>'[1]RAČUN PRIHODA I RASHODA'!G495</f>
        <v>6858298.5799999991</v>
      </c>
      <c r="I8" s="9"/>
      <c r="J8" s="9"/>
      <c r="K8" s="9"/>
    </row>
    <row r="9" spans="1:11" ht="28.15" customHeight="1">
      <c r="A9" s="319" t="s">
        <v>11</v>
      </c>
      <c r="B9" s="319"/>
      <c r="C9" s="319"/>
      <c r="D9" s="319"/>
      <c r="E9" s="319"/>
      <c r="F9" s="10">
        <v>1008881.1453978366</v>
      </c>
      <c r="G9" s="10">
        <v>1134657</v>
      </c>
      <c r="H9" s="10">
        <f>'[1]RAČUN PRIHODA I RASHODA'!G497</f>
        <v>132656.16999999998</v>
      </c>
      <c r="I9" s="9"/>
      <c r="J9" s="9"/>
      <c r="K9" s="9"/>
    </row>
    <row r="10" spans="1:11" ht="28.15" customHeight="1">
      <c r="A10" s="320" t="s">
        <v>12</v>
      </c>
      <c r="B10" s="320"/>
      <c r="C10" s="320"/>
      <c r="D10" s="320"/>
      <c r="E10" s="320"/>
      <c r="F10" s="11">
        <f>SUM(F4-F7)</f>
        <v>1893146.2844249774</v>
      </c>
      <c r="G10" s="11">
        <f>SUM(G4-G7)</f>
        <v>723950</v>
      </c>
      <c r="H10" s="11">
        <f>SUM(H4-H7)</f>
        <v>-1117969.5799999991</v>
      </c>
      <c r="I10" s="9"/>
      <c r="J10" s="9"/>
      <c r="K10" s="9"/>
    </row>
    <row r="11" spans="1:11">
      <c r="A11" s="12"/>
      <c r="B11" s="12"/>
      <c r="C11" s="12"/>
      <c r="D11" s="12"/>
      <c r="E11" s="12"/>
      <c r="F11" s="12"/>
      <c r="G11" s="12"/>
      <c r="H11" s="12"/>
      <c r="I11" s="13"/>
      <c r="J11" s="13"/>
      <c r="K11" s="9"/>
    </row>
    <row r="12" spans="1:11" ht="21.75" customHeight="1">
      <c r="A12" s="321" t="s">
        <v>13</v>
      </c>
      <c r="B12" s="321"/>
      <c r="C12" s="321"/>
      <c r="D12" s="321"/>
      <c r="E12" s="321"/>
      <c r="F12" s="321"/>
      <c r="G12" s="321"/>
      <c r="H12" s="321"/>
      <c r="I12" s="13"/>
      <c r="J12" s="13"/>
      <c r="K12" s="9"/>
    </row>
    <row r="13" spans="1:11" ht="47.25">
      <c r="A13" s="322" t="s">
        <v>14</v>
      </c>
      <c r="B13" s="323"/>
      <c r="C13" s="323"/>
      <c r="D13" s="323"/>
      <c r="E13" s="323"/>
      <c r="F13" s="2" t="s">
        <v>3</v>
      </c>
      <c r="G13" s="2" t="s">
        <v>4</v>
      </c>
      <c r="H13" s="2" t="s">
        <v>5</v>
      </c>
    </row>
    <row r="14" spans="1:11" ht="15.75" customHeight="1">
      <c r="A14" s="324" t="s">
        <v>15</v>
      </c>
      <c r="B14" s="325"/>
      <c r="C14" s="325"/>
      <c r="D14" s="325"/>
      <c r="E14" s="326"/>
      <c r="F14" s="14">
        <v>0</v>
      </c>
      <c r="G14" s="14">
        <v>0</v>
      </c>
      <c r="H14" s="14">
        <v>0</v>
      </c>
    </row>
    <row r="15" spans="1:11" ht="15.75" customHeight="1">
      <c r="A15" s="324" t="s">
        <v>16</v>
      </c>
      <c r="B15" s="316"/>
      <c r="C15" s="316"/>
      <c r="D15" s="316"/>
      <c r="E15" s="316"/>
      <c r="F15" s="14">
        <v>106179</v>
      </c>
      <c r="G15" s="14">
        <v>0</v>
      </c>
      <c r="H15" s="14">
        <v>150000</v>
      </c>
    </row>
    <row r="16" spans="1:11" ht="15.75" customHeight="1">
      <c r="A16" s="327" t="s">
        <v>17</v>
      </c>
      <c r="B16" s="328"/>
      <c r="C16" s="328"/>
      <c r="D16" s="328"/>
      <c r="E16" s="329"/>
      <c r="F16" s="15">
        <f>(27904813)/7.5345</f>
        <v>3703605.1496449662</v>
      </c>
      <c r="G16" s="15">
        <v>1477826</v>
      </c>
      <c r="H16" s="15"/>
    </row>
    <row r="17" spans="1:8" ht="15.75" customHeight="1">
      <c r="A17" s="327" t="s">
        <v>18</v>
      </c>
      <c r="B17" s="328"/>
      <c r="C17" s="328"/>
      <c r="D17" s="328"/>
      <c r="E17" s="329"/>
      <c r="F17" s="16">
        <f>-41368721/7.5345</f>
        <v>-5490572.8316411171</v>
      </c>
      <c r="G17" s="16">
        <v>-2201776</v>
      </c>
      <c r="H17" s="16"/>
    </row>
    <row r="18" spans="1:8" ht="15.75" customHeight="1">
      <c r="A18" s="330" t="s">
        <v>19</v>
      </c>
      <c r="B18" s="331"/>
      <c r="C18" s="331"/>
      <c r="D18" s="331"/>
      <c r="E18" s="331"/>
      <c r="F18" s="17">
        <f>SUM(F14-F15)</f>
        <v>-106179</v>
      </c>
      <c r="G18" s="17">
        <f>SUM(G14-G15)</f>
        <v>0</v>
      </c>
      <c r="H18" s="17">
        <f t="shared" ref="H18" si="1">SUM(H14-H15)</f>
        <v>-150000</v>
      </c>
    </row>
    <row r="19" spans="1:8">
      <c r="A19" s="18"/>
      <c r="B19" s="18"/>
      <c r="C19" s="18"/>
      <c r="D19" s="18"/>
      <c r="E19" s="18"/>
      <c r="F19" s="19"/>
      <c r="G19" s="19"/>
      <c r="H19" s="19"/>
    </row>
    <row r="20" spans="1:8" ht="15.75" customHeight="1">
      <c r="A20" s="315" t="s">
        <v>20</v>
      </c>
      <c r="B20" s="316"/>
      <c r="C20" s="316"/>
      <c r="D20" s="316"/>
      <c r="E20" s="316"/>
      <c r="F20" s="20">
        <f>SUM(F16+F17+F18+F10)</f>
        <v>-0.39757117349654436</v>
      </c>
      <c r="G20" s="20">
        <f>SUM(G16+G17+G18+G10)</f>
        <v>0</v>
      </c>
      <c r="H20" s="20">
        <f>SUM(H16+H17+H18+H10)</f>
        <v>-1267969.5799999991</v>
      </c>
    </row>
    <row r="21" spans="1:8">
      <c r="H21" s="5"/>
    </row>
    <row r="22" spans="1:8">
      <c r="H22" s="5"/>
    </row>
  </sheetData>
  <mergeCells count="18">
    <mergeCell ref="A6:E6"/>
    <mergeCell ref="A1:H1"/>
    <mergeCell ref="A2:H2"/>
    <mergeCell ref="A3:E3"/>
    <mergeCell ref="A4:E4"/>
    <mergeCell ref="A5:E5"/>
    <mergeCell ref="A20:E20"/>
    <mergeCell ref="A7:E7"/>
    <mergeCell ref="A8:E8"/>
    <mergeCell ref="A9:E9"/>
    <mergeCell ref="A10:E10"/>
    <mergeCell ref="A12:H12"/>
    <mergeCell ref="A13:E13"/>
    <mergeCell ref="A14:E14"/>
    <mergeCell ref="A15:E15"/>
    <mergeCell ref="A16:E16"/>
    <mergeCell ref="A17:E17"/>
    <mergeCell ref="A18:E18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4C9B-FA60-429C-94EE-4869692A44EE}">
  <dimension ref="A1:J498"/>
  <sheetViews>
    <sheetView tabSelected="1" zoomScaleNormal="100" workbookViewId="0">
      <selection activeCell="G267" sqref="G267"/>
    </sheetView>
  </sheetViews>
  <sheetFormatPr defaultColWidth="9.140625" defaultRowHeight="15"/>
  <cols>
    <col min="1" max="1" width="7" style="66" bestFit="1" customWidth="1"/>
    <col min="2" max="2" width="8.42578125" style="21" customWidth="1"/>
    <col min="3" max="3" width="5.28515625" style="21" bestFit="1" customWidth="1"/>
    <col min="4" max="4" width="40.42578125" style="239" customWidth="1"/>
    <col min="5" max="5" width="12.5703125" style="247" customWidth="1"/>
    <col min="6" max="7" width="12.5703125" style="21" customWidth="1"/>
    <col min="8" max="8" width="9.5703125" style="21" customWidth="1"/>
    <col min="9" max="9" width="8.42578125" style="21" customWidth="1"/>
    <col min="10" max="10" width="15.140625" style="21" customWidth="1"/>
    <col min="11" max="11" width="15.42578125" style="21" customWidth="1"/>
    <col min="12" max="12" width="9.140625" style="21" customWidth="1"/>
    <col min="13" max="16384" width="9.140625" style="21"/>
  </cols>
  <sheetData>
    <row r="1" spans="1:10" ht="31.5" customHeight="1">
      <c r="A1" s="340" t="s">
        <v>0</v>
      </c>
      <c r="B1" s="340"/>
      <c r="C1" s="340"/>
      <c r="D1" s="340"/>
      <c r="E1" s="340"/>
      <c r="F1" s="340"/>
      <c r="G1" s="340"/>
      <c r="H1" s="340"/>
      <c r="I1" s="340"/>
    </row>
    <row r="2" spans="1:10" ht="43.5" customHeight="1">
      <c r="A2" s="341" t="s">
        <v>21</v>
      </c>
      <c r="B2" s="341"/>
      <c r="C2" s="341"/>
      <c r="D2" s="341"/>
      <c r="E2" s="341"/>
      <c r="F2" s="341"/>
      <c r="G2" s="341"/>
      <c r="H2" s="341"/>
      <c r="I2" s="341"/>
    </row>
    <row r="3" spans="1:10" s="25" customFormat="1" ht="60">
      <c r="A3" s="22" t="s">
        <v>22</v>
      </c>
      <c r="B3" s="23" t="s">
        <v>23</v>
      </c>
      <c r="C3" s="23" t="s">
        <v>24</v>
      </c>
      <c r="D3" s="24" t="s">
        <v>25</v>
      </c>
      <c r="E3" s="23" t="s">
        <v>26</v>
      </c>
      <c r="F3" s="23" t="s">
        <v>4</v>
      </c>
      <c r="G3" s="23" t="s">
        <v>5</v>
      </c>
      <c r="H3" s="23" t="s">
        <v>27</v>
      </c>
      <c r="I3" s="23" t="s">
        <v>27</v>
      </c>
      <c r="J3" s="21"/>
    </row>
    <row r="4" spans="1:10" s="30" customFormat="1">
      <c r="A4" s="335">
        <v>1</v>
      </c>
      <c r="B4" s="335"/>
      <c r="C4" s="335"/>
      <c r="D4" s="335"/>
      <c r="E4" s="26">
        <v>2</v>
      </c>
      <c r="F4" s="27">
        <v>3</v>
      </c>
      <c r="G4" s="27">
        <v>4</v>
      </c>
      <c r="H4" s="26" t="s">
        <v>28</v>
      </c>
      <c r="I4" s="28" t="s">
        <v>29</v>
      </c>
      <c r="J4" s="29"/>
    </row>
    <row r="5" spans="1:10" s="25" customFormat="1">
      <c r="A5" s="31">
        <v>6</v>
      </c>
      <c r="B5" s="32"/>
      <c r="C5" s="31"/>
      <c r="D5" s="33" t="s">
        <v>30</v>
      </c>
      <c r="E5" s="32">
        <f>E6+E23</f>
        <v>1667408.6376003711</v>
      </c>
      <c r="F5" s="32">
        <f t="shared" ref="F5:G5" si="0">F6+F23</f>
        <v>596143</v>
      </c>
      <c r="G5" s="32">
        <f t="shared" si="0"/>
        <v>207604.72</v>
      </c>
      <c r="H5" s="32">
        <f>G5/E5*100</f>
        <v>12.450740347535415</v>
      </c>
      <c r="I5" s="32">
        <f>G5/F5*100</f>
        <v>34.82465113236254</v>
      </c>
      <c r="J5" s="21"/>
    </row>
    <row r="6" spans="1:10" s="30" customFormat="1" ht="30">
      <c r="A6" s="34"/>
      <c r="B6" s="35">
        <v>63</v>
      </c>
      <c r="C6" s="36"/>
      <c r="D6" s="37" t="s">
        <v>31</v>
      </c>
      <c r="E6" s="38">
        <f>E7+E12+E19+E9+E15+E17</f>
        <v>1667408.6309642307</v>
      </c>
      <c r="F6" s="38">
        <f t="shared" ref="F6:G6" si="1">F7+F12+F19+F9+F15+F17</f>
        <v>596143</v>
      </c>
      <c r="G6" s="38">
        <f t="shared" si="1"/>
        <v>207604.72</v>
      </c>
      <c r="H6" s="39"/>
      <c r="I6" s="39"/>
      <c r="J6" s="29"/>
    </row>
    <row r="7" spans="1:10" s="30" customFormat="1">
      <c r="A7" s="34"/>
      <c r="B7" s="35" t="s">
        <v>32</v>
      </c>
      <c r="C7" s="36"/>
      <c r="D7" s="40" t="s">
        <v>33</v>
      </c>
      <c r="E7" s="38">
        <f>E8</f>
        <v>22878.573229809539</v>
      </c>
      <c r="F7" s="38">
        <f t="shared" ref="F7:G7" si="2">F8</f>
        <v>2000</v>
      </c>
      <c r="G7" s="38">
        <f t="shared" si="2"/>
        <v>18837.189999999999</v>
      </c>
      <c r="H7" s="39"/>
      <c r="I7" s="39"/>
      <c r="J7" s="29"/>
    </row>
    <row r="8" spans="1:10" s="30" customFormat="1" ht="30">
      <c r="A8" s="34"/>
      <c r="B8" s="41" t="s">
        <v>34</v>
      </c>
      <c r="C8" s="42"/>
      <c r="D8" s="43" t="s">
        <v>35</v>
      </c>
      <c r="E8" s="44">
        <f>172378.61/7.5345</f>
        <v>22878.573229809539</v>
      </c>
      <c r="F8" s="38">
        <v>2000</v>
      </c>
      <c r="G8" s="38">
        <v>18837.189999999999</v>
      </c>
      <c r="H8" s="39"/>
      <c r="I8" s="39"/>
      <c r="J8" s="29"/>
    </row>
    <row r="9" spans="1:10" s="30" customFormat="1" ht="30">
      <c r="A9" s="34"/>
      <c r="B9" s="45" t="s">
        <v>36</v>
      </c>
      <c r="C9" s="42"/>
      <c r="D9" s="40" t="s">
        <v>37</v>
      </c>
      <c r="E9" s="46">
        <f>E10+E11</f>
        <v>2993.2085738934238</v>
      </c>
      <c r="F9" s="38">
        <f t="shared" ref="F9:G9" si="3">F10+F11</f>
        <v>0</v>
      </c>
      <c r="G9" s="46">
        <f t="shared" si="3"/>
        <v>0</v>
      </c>
      <c r="H9" s="39"/>
      <c r="I9" s="39"/>
      <c r="J9" s="29"/>
    </row>
    <row r="10" spans="1:10" s="30" customFormat="1" ht="30">
      <c r="A10" s="34"/>
      <c r="B10" s="41" t="s">
        <v>38</v>
      </c>
      <c r="C10" s="42"/>
      <c r="D10" s="43" t="s">
        <v>39</v>
      </c>
      <c r="E10" s="44">
        <f>21052.33/7.5345</f>
        <v>2794.1243612714848</v>
      </c>
      <c r="F10" s="38">
        <v>0</v>
      </c>
      <c r="G10" s="38">
        <v>0</v>
      </c>
      <c r="H10" s="39"/>
      <c r="I10" s="39"/>
      <c r="J10" s="29"/>
    </row>
    <row r="11" spans="1:10" s="30" customFormat="1" ht="30">
      <c r="A11" s="34"/>
      <c r="B11" s="41" t="s">
        <v>40</v>
      </c>
      <c r="C11" s="42"/>
      <c r="D11" s="43" t="s">
        <v>41</v>
      </c>
      <c r="E11" s="44">
        <f>1500/7.5345</f>
        <v>199.08421262193906</v>
      </c>
      <c r="F11" s="38">
        <v>0</v>
      </c>
      <c r="G11" s="38">
        <v>0</v>
      </c>
      <c r="H11" s="39"/>
      <c r="I11" s="39"/>
      <c r="J11" s="29"/>
    </row>
    <row r="12" spans="1:10" s="25" customFormat="1">
      <c r="A12" s="34"/>
      <c r="B12" s="35" t="s">
        <v>42</v>
      </c>
      <c r="C12" s="36"/>
      <c r="D12" s="37" t="s">
        <v>43</v>
      </c>
      <c r="E12" s="38">
        <f>E14+E13</f>
        <v>20948.109363594132</v>
      </c>
      <c r="F12" s="38">
        <f t="shared" ref="F12:G12" si="4">F14+F13</f>
        <v>9289</v>
      </c>
      <c r="G12" s="38">
        <f t="shared" si="4"/>
        <v>3021.83</v>
      </c>
      <c r="H12" s="39"/>
      <c r="I12" s="39"/>
      <c r="J12" s="21"/>
    </row>
    <row r="13" spans="1:10" s="25" customFormat="1" ht="30">
      <c r="A13" s="34"/>
      <c r="B13" s="41" t="s">
        <v>44</v>
      </c>
      <c r="C13" s="36"/>
      <c r="D13" s="43" t="s">
        <v>45</v>
      </c>
      <c r="E13" s="44">
        <f>87833.53/7.5345</f>
        <v>11657.512774570308</v>
      </c>
      <c r="F13" s="38">
        <v>9289</v>
      </c>
      <c r="G13" s="38">
        <v>3021.83</v>
      </c>
      <c r="H13" s="39"/>
      <c r="I13" s="39"/>
      <c r="J13" s="21"/>
    </row>
    <row r="14" spans="1:10" s="25" customFormat="1" ht="30">
      <c r="A14" s="47"/>
      <c r="B14" s="48" t="s">
        <v>46</v>
      </c>
      <c r="C14" s="49"/>
      <c r="D14" s="43" t="s">
        <v>47</v>
      </c>
      <c r="E14" s="50">
        <f>70000/7.5345</f>
        <v>9290.596589023824</v>
      </c>
      <c r="F14" s="50">
        <v>0</v>
      </c>
      <c r="G14" s="50">
        <v>0</v>
      </c>
      <c r="H14" s="39"/>
      <c r="I14" s="39"/>
      <c r="J14" s="21"/>
    </row>
    <row r="15" spans="1:10" s="25" customFormat="1" ht="30">
      <c r="A15" s="47"/>
      <c r="B15" s="45" t="s">
        <v>48</v>
      </c>
      <c r="C15" s="49"/>
      <c r="D15" s="40" t="s">
        <v>49</v>
      </c>
      <c r="E15" s="46">
        <f>E16</f>
        <v>17564.669188400025</v>
      </c>
      <c r="F15" s="38">
        <f t="shared" ref="F15:G15" si="5">F16</f>
        <v>16517</v>
      </c>
      <c r="G15" s="46">
        <f t="shared" si="5"/>
        <v>600</v>
      </c>
      <c r="H15" s="39"/>
      <c r="I15" s="39"/>
      <c r="J15" s="21"/>
    </row>
    <row r="16" spans="1:10" s="25" customFormat="1" ht="30">
      <c r="A16" s="47"/>
      <c r="B16" s="48" t="s">
        <v>50</v>
      </c>
      <c r="C16" s="49"/>
      <c r="D16" s="43" t="s">
        <v>51</v>
      </c>
      <c r="E16" s="50">
        <f>132341/7.5345</f>
        <v>17564.669188400025</v>
      </c>
      <c r="F16" s="50">
        <v>16517</v>
      </c>
      <c r="G16" s="50">
        <v>600</v>
      </c>
      <c r="H16" s="39"/>
      <c r="I16" s="39"/>
      <c r="J16" s="21"/>
    </row>
    <row r="17" spans="1:10" s="25" customFormat="1">
      <c r="A17" s="47"/>
      <c r="B17" s="45" t="s">
        <v>52</v>
      </c>
      <c r="C17" s="51"/>
      <c r="D17" s="40" t="s">
        <v>53</v>
      </c>
      <c r="E17" s="46">
        <f>E18</f>
        <v>0</v>
      </c>
      <c r="F17" s="46">
        <f t="shared" ref="F17:G17" si="6">F18</f>
        <v>93595</v>
      </c>
      <c r="G17" s="46">
        <f t="shared" si="6"/>
        <v>0</v>
      </c>
      <c r="H17" s="39"/>
      <c r="I17" s="39"/>
      <c r="J17" s="21"/>
    </row>
    <row r="18" spans="1:10" s="25" customFormat="1" ht="30">
      <c r="A18" s="47"/>
      <c r="B18" s="48" t="s">
        <v>54</v>
      </c>
      <c r="C18" s="49"/>
      <c r="D18" s="43" t="s">
        <v>55</v>
      </c>
      <c r="E18" s="50">
        <v>0</v>
      </c>
      <c r="F18" s="50">
        <v>93595</v>
      </c>
      <c r="G18" s="50">
        <v>0</v>
      </c>
      <c r="H18" s="39"/>
      <c r="I18" s="39"/>
      <c r="J18" s="21"/>
    </row>
    <row r="19" spans="1:10" s="30" customFormat="1" ht="30">
      <c r="A19" s="47"/>
      <c r="B19" s="45" t="s">
        <v>56</v>
      </c>
      <c r="C19" s="49"/>
      <c r="D19" s="40" t="s">
        <v>57</v>
      </c>
      <c r="E19" s="46">
        <f>E20+E21+E22</f>
        <v>1603024.0706085337</v>
      </c>
      <c r="F19" s="46">
        <f t="shared" ref="F19:G19" si="7">F20+F21+F22</f>
        <v>474742</v>
      </c>
      <c r="G19" s="46">
        <f t="shared" si="7"/>
        <v>185145.7</v>
      </c>
      <c r="H19" s="39"/>
      <c r="I19" s="39"/>
      <c r="J19" s="29"/>
    </row>
    <row r="20" spans="1:10" s="30" customFormat="1" ht="30">
      <c r="A20" s="47"/>
      <c r="B20" s="41" t="s">
        <v>58</v>
      </c>
      <c r="C20" s="49"/>
      <c r="D20" s="43" t="s">
        <v>59</v>
      </c>
      <c r="E20" s="50">
        <f>1373848.49/7.5345</f>
        <v>182341.02992899329</v>
      </c>
      <c r="F20" s="50">
        <f>159338+160000</f>
        <v>319338</v>
      </c>
      <c r="G20" s="50">
        <v>120491.83</v>
      </c>
      <c r="H20" s="39"/>
      <c r="I20" s="39"/>
      <c r="J20" s="29"/>
    </row>
    <row r="21" spans="1:10" s="30" customFormat="1" ht="45">
      <c r="A21" s="47"/>
      <c r="B21" s="41" t="s">
        <v>60</v>
      </c>
      <c r="C21" s="49"/>
      <c r="D21" s="43" t="s">
        <v>61</v>
      </c>
      <c r="E21" s="50">
        <f>10694452.62/7.5345</f>
        <v>1419397.7861835554</v>
      </c>
      <c r="F21" s="50">
        <v>155404</v>
      </c>
      <c r="G21" s="50">
        <v>64653.87</v>
      </c>
      <c r="H21" s="39"/>
      <c r="I21" s="39"/>
      <c r="J21" s="29"/>
    </row>
    <row r="22" spans="1:10" s="30" customFormat="1" ht="30">
      <c r="A22" s="47"/>
      <c r="B22" s="41" t="s">
        <v>62</v>
      </c>
      <c r="C22" s="49"/>
      <c r="D22" s="43" t="s">
        <v>63</v>
      </c>
      <c r="E22" s="50">
        <f>9683.75/7.5345</f>
        <v>1285.254495985135</v>
      </c>
      <c r="F22" s="50">
        <v>0</v>
      </c>
      <c r="G22" s="50">
        <v>0</v>
      </c>
      <c r="H22" s="39"/>
      <c r="I22" s="39"/>
      <c r="J22" s="29"/>
    </row>
    <row r="23" spans="1:10" s="30" customFormat="1">
      <c r="A23" s="47"/>
      <c r="B23" s="45" t="s">
        <v>64</v>
      </c>
      <c r="C23" s="49"/>
      <c r="D23" s="40" t="s">
        <v>65</v>
      </c>
      <c r="E23" s="50">
        <f>E24</f>
        <v>6.6361404207313027E-3</v>
      </c>
      <c r="F23" s="50">
        <f t="shared" ref="F23:G24" si="8">F24</f>
        <v>0</v>
      </c>
      <c r="G23" s="50">
        <f t="shared" si="8"/>
        <v>0</v>
      </c>
      <c r="H23" s="39"/>
      <c r="I23" s="39"/>
      <c r="J23" s="29"/>
    </row>
    <row r="24" spans="1:10" s="30" customFormat="1">
      <c r="A24" s="47"/>
      <c r="B24" s="45" t="s">
        <v>66</v>
      </c>
      <c r="C24" s="49"/>
      <c r="D24" s="40" t="s">
        <v>67</v>
      </c>
      <c r="E24" s="50">
        <f>E25</f>
        <v>6.6361404207313027E-3</v>
      </c>
      <c r="F24" s="50">
        <f t="shared" si="8"/>
        <v>0</v>
      </c>
      <c r="G24" s="50">
        <f t="shared" si="8"/>
        <v>0</v>
      </c>
      <c r="H24" s="39"/>
      <c r="I24" s="39"/>
      <c r="J24" s="29"/>
    </row>
    <row r="25" spans="1:10" s="30" customFormat="1">
      <c r="A25" s="47"/>
      <c r="B25" s="41" t="s">
        <v>68</v>
      </c>
      <c r="C25" s="49"/>
      <c r="D25" s="43" t="s">
        <v>67</v>
      </c>
      <c r="E25" s="50">
        <f>0.05/7.5345</f>
        <v>6.6361404207313027E-3</v>
      </c>
      <c r="F25" s="50"/>
      <c r="G25" s="50">
        <v>0</v>
      </c>
      <c r="H25" s="39"/>
      <c r="I25" s="39"/>
      <c r="J25" s="29"/>
    </row>
    <row r="26" spans="1:10" s="59" customFormat="1">
      <c r="A26" s="52"/>
      <c r="B26" s="53"/>
      <c r="C26" s="54">
        <v>52</v>
      </c>
      <c r="D26" s="55" t="s">
        <v>69</v>
      </c>
      <c r="E26" s="56">
        <f>E5</f>
        <v>1667408.6376003711</v>
      </c>
      <c r="F26" s="56">
        <f t="shared" ref="F26:G26" si="9">F5</f>
        <v>596143</v>
      </c>
      <c r="G26" s="56">
        <f t="shared" si="9"/>
        <v>207604.72</v>
      </c>
      <c r="H26" s="57">
        <f>G26/E26*100</f>
        <v>12.450740347535415</v>
      </c>
      <c r="I26" s="57">
        <f t="shared" ref="I26:I61" si="10">G26/F26*100</f>
        <v>34.82465113236254</v>
      </c>
      <c r="J26" s="58"/>
    </row>
    <row r="27" spans="1:10" s="65" customFormat="1">
      <c r="A27" s="60">
        <v>6</v>
      </c>
      <c r="B27" s="61"/>
      <c r="C27" s="62"/>
      <c r="D27" s="63" t="s">
        <v>30</v>
      </c>
      <c r="E27" s="64">
        <f>E28+E32+E35+E39</f>
        <v>344072.16404539114</v>
      </c>
      <c r="F27" s="64">
        <f>F28+F32+F35+F39</f>
        <v>300454</v>
      </c>
      <c r="G27" s="64">
        <f t="shared" ref="G27" si="11">G28+G32+G35+G39</f>
        <v>147327.13</v>
      </c>
      <c r="H27" s="39"/>
      <c r="I27" s="39"/>
      <c r="J27" s="21"/>
    </row>
    <row r="28" spans="1:10" s="67" customFormat="1">
      <c r="A28" s="52"/>
      <c r="B28" s="61">
        <v>64</v>
      </c>
      <c r="C28" s="62"/>
      <c r="D28" s="40" t="s">
        <v>70</v>
      </c>
      <c r="E28" s="64">
        <f>E29</f>
        <v>2485.680536200146</v>
      </c>
      <c r="F28" s="64">
        <f t="shared" ref="F28:G28" si="12">F29</f>
        <v>16550</v>
      </c>
      <c r="G28" s="64">
        <f t="shared" si="12"/>
        <v>258.12</v>
      </c>
      <c r="H28" s="39"/>
      <c r="I28" s="39"/>
      <c r="J28" s="66"/>
    </row>
    <row r="29" spans="1:10" s="67" customFormat="1">
      <c r="A29" s="52"/>
      <c r="B29" s="61">
        <v>641</v>
      </c>
      <c r="C29" s="62"/>
      <c r="D29" s="40" t="s">
        <v>71</v>
      </c>
      <c r="E29" s="64">
        <f>E30+E31</f>
        <v>2485.680536200146</v>
      </c>
      <c r="F29" s="64">
        <f>F30+F31</f>
        <v>16550</v>
      </c>
      <c r="G29" s="64">
        <f t="shared" ref="G29" si="13">G30+G31</f>
        <v>258.12</v>
      </c>
      <c r="H29" s="39"/>
      <c r="I29" s="39"/>
      <c r="J29" s="66"/>
    </row>
    <row r="30" spans="1:10" s="67" customFormat="1">
      <c r="A30" s="52"/>
      <c r="B30" s="68">
        <v>6413</v>
      </c>
      <c r="C30" s="62"/>
      <c r="D30" s="69" t="s">
        <v>72</v>
      </c>
      <c r="E30" s="70">
        <f>3273.07/7.5345</f>
        <v>434.41104253766008</v>
      </c>
      <c r="F30" s="71">
        <f>576+15</f>
        <v>591</v>
      </c>
      <c r="G30" s="70">
        <v>177.23</v>
      </c>
      <c r="H30" s="39"/>
      <c r="I30" s="39"/>
      <c r="J30" s="66"/>
    </row>
    <row r="31" spans="1:10" s="67" customFormat="1">
      <c r="A31" s="52"/>
      <c r="B31" s="68">
        <v>6415</v>
      </c>
      <c r="C31" s="62"/>
      <c r="D31" s="69" t="s">
        <v>73</v>
      </c>
      <c r="E31" s="70">
        <f>15455.29/7.5345</f>
        <v>2051.2694936624857</v>
      </c>
      <c r="F31" s="71">
        <v>15959</v>
      </c>
      <c r="G31" s="70">
        <v>80.89</v>
      </c>
      <c r="H31" s="39"/>
      <c r="I31" s="39"/>
      <c r="J31" s="66"/>
    </row>
    <row r="32" spans="1:10" s="25" customFormat="1" ht="45">
      <c r="A32" s="52"/>
      <c r="B32" s="61">
        <v>65</v>
      </c>
      <c r="C32" s="62"/>
      <c r="D32" s="40" t="s">
        <v>74</v>
      </c>
      <c r="E32" s="64">
        <f t="shared" ref="E32:F33" si="14">E33</f>
        <v>56.739000597252634</v>
      </c>
      <c r="F32" s="64">
        <f>F33</f>
        <v>0</v>
      </c>
      <c r="G32" s="64">
        <f t="shared" ref="G32:G33" si="15">G33</f>
        <v>0</v>
      </c>
      <c r="H32" s="39"/>
      <c r="I32" s="39"/>
      <c r="J32" s="21"/>
    </row>
    <row r="33" spans="1:10" s="25" customFormat="1">
      <c r="A33" s="52"/>
      <c r="B33" s="61">
        <v>652</v>
      </c>
      <c r="C33" s="62"/>
      <c r="D33" s="40" t="s">
        <v>75</v>
      </c>
      <c r="E33" s="64">
        <f t="shared" si="14"/>
        <v>56.739000597252634</v>
      </c>
      <c r="F33" s="64">
        <f t="shared" si="14"/>
        <v>0</v>
      </c>
      <c r="G33" s="64">
        <f t="shared" si="15"/>
        <v>0</v>
      </c>
      <c r="H33" s="39"/>
      <c r="I33" s="39"/>
      <c r="J33" s="21"/>
    </row>
    <row r="34" spans="1:10" s="25" customFormat="1" ht="30">
      <c r="A34" s="52"/>
      <c r="B34" s="68">
        <v>6526</v>
      </c>
      <c r="C34" s="62"/>
      <c r="D34" s="72" t="s">
        <v>76</v>
      </c>
      <c r="E34" s="64">
        <f>427.5/7.5345</f>
        <v>56.739000597252634</v>
      </c>
      <c r="F34" s="64">
        <v>0</v>
      </c>
      <c r="G34" s="64">
        <v>0</v>
      </c>
      <c r="H34" s="39"/>
      <c r="I34" s="39"/>
      <c r="J34" s="21"/>
    </row>
    <row r="35" spans="1:10" s="25" customFormat="1" ht="30">
      <c r="A35" s="34"/>
      <c r="B35" s="35">
        <v>66</v>
      </c>
      <c r="C35" s="36"/>
      <c r="D35" s="37" t="s">
        <v>77</v>
      </c>
      <c r="E35" s="39">
        <f>SUM(E36)</f>
        <v>341529.74450859375</v>
      </c>
      <c r="F35" s="39">
        <f t="shared" ref="F35:G35" si="16">SUM(F36)</f>
        <v>283904</v>
      </c>
      <c r="G35" s="39">
        <f t="shared" si="16"/>
        <v>147063.94</v>
      </c>
      <c r="H35" s="39"/>
      <c r="I35" s="39"/>
      <c r="J35" s="21"/>
    </row>
    <row r="36" spans="1:10" s="30" customFormat="1" ht="30">
      <c r="A36" s="34"/>
      <c r="B36" s="35" t="s">
        <v>78</v>
      </c>
      <c r="C36" s="36"/>
      <c r="D36" s="37" t="s">
        <v>79</v>
      </c>
      <c r="E36" s="39">
        <f>E37+E38</f>
        <v>341529.74450859375</v>
      </c>
      <c r="F36" s="39">
        <f t="shared" ref="F36:G36" si="17">F37+F38</f>
        <v>283904</v>
      </c>
      <c r="G36" s="39">
        <f t="shared" si="17"/>
        <v>147063.94</v>
      </c>
      <c r="H36" s="39"/>
      <c r="I36" s="39"/>
      <c r="J36" s="29"/>
    </row>
    <row r="37" spans="1:10" s="30" customFormat="1">
      <c r="A37" s="34"/>
      <c r="B37" s="41" t="s">
        <v>80</v>
      </c>
      <c r="C37" s="36"/>
      <c r="D37" s="43" t="s">
        <v>81</v>
      </c>
      <c r="E37" s="73">
        <f>2615.86/7.5345</f>
        <v>347.18428561948372</v>
      </c>
      <c r="F37" s="39">
        <v>199</v>
      </c>
      <c r="G37" s="39"/>
      <c r="H37" s="39"/>
      <c r="I37" s="39"/>
      <c r="J37" s="29"/>
    </row>
    <row r="38" spans="1:10" s="67" customFormat="1">
      <c r="A38" s="47"/>
      <c r="B38" s="48" t="s">
        <v>82</v>
      </c>
      <c r="C38" s="74"/>
      <c r="D38" s="43" t="s">
        <v>83</v>
      </c>
      <c r="E38" s="75">
        <f>2570640/7.5345</f>
        <v>341182.56022297428</v>
      </c>
      <c r="F38" s="75">
        <v>283705</v>
      </c>
      <c r="G38" s="75">
        <v>147063.94</v>
      </c>
      <c r="H38" s="39"/>
      <c r="I38" s="39"/>
      <c r="J38" s="66"/>
    </row>
    <row r="39" spans="1:10" s="67" customFormat="1">
      <c r="A39" s="47"/>
      <c r="B39" s="45" t="s">
        <v>64</v>
      </c>
      <c r="C39" s="74"/>
      <c r="D39" s="40" t="s">
        <v>65</v>
      </c>
      <c r="E39" s="75">
        <f>E40</f>
        <v>0</v>
      </c>
      <c r="F39" s="75">
        <f t="shared" ref="F39:G40" si="18">F40</f>
        <v>0</v>
      </c>
      <c r="G39" s="75">
        <f t="shared" si="18"/>
        <v>5.07</v>
      </c>
      <c r="H39" s="39"/>
      <c r="I39" s="39"/>
      <c r="J39" s="66"/>
    </row>
    <row r="40" spans="1:10" s="67" customFormat="1">
      <c r="A40" s="47"/>
      <c r="B40" s="45" t="s">
        <v>66</v>
      </c>
      <c r="C40" s="74"/>
      <c r="D40" s="40" t="s">
        <v>67</v>
      </c>
      <c r="E40" s="75">
        <f>E41</f>
        <v>0</v>
      </c>
      <c r="F40" s="75">
        <f t="shared" si="18"/>
        <v>0</v>
      </c>
      <c r="G40" s="75">
        <f t="shared" si="18"/>
        <v>5.07</v>
      </c>
      <c r="H40" s="39"/>
      <c r="I40" s="39"/>
      <c r="J40" s="66"/>
    </row>
    <row r="41" spans="1:10" s="67" customFormat="1">
      <c r="A41" s="47"/>
      <c r="B41" s="48" t="s">
        <v>68</v>
      </c>
      <c r="C41" s="74"/>
      <c r="D41" s="43" t="s">
        <v>67</v>
      </c>
      <c r="E41" s="75"/>
      <c r="F41" s="75"/>
      <c r="G41" s="75">
        <v>5.07</v>
      </c>
      <c r="H41" s="39"/>
      <c r="I41" s="39"/>
      <c r="J41" s="66"/>
    </row>
    <row r="42" spans="1:10" s="59" customFormat="1">
      <c r="A42" s="52"/>
      <c r="B42" s="53"/>
      <c r="C42" s="54" t="s">
        <v>84</v>
      </c>
      <c r="D42" s="55" t="s">
        <v>85</v>
      </c>
      <c r="E42" s="56">
        <f>E27</f>
        <v>344072.16404539114</v>
      </c>
      <c r="F42" s="56">
        <f>F27</f>
        <v>300454</v>
      </c>
      <c r="G42" s="56">
        <f>G27</f>
        <v>147327.13</v>
      </c>
      <c r="H42" s="57">
        <f t="shared" ref="H42:H61" si="19">G42/E42*100</f>
        <v>42.818671603019922</v>
      </c>
      <c r="I42" s="57">
        <f t="shared" si="10"/>
        <v>49.034837279583563</v>
      </c>
      <c r="J42" s="58"/>
    </row>
    <row r="43" spans="1:10" s="65" customFormat="1">
      <c r="A43" s="60">
        <v>6</v>
      </c>
      <c r="B43" s="61"/>
      <c r="C43" s="62"/>
      <c r="D43" s="63" t="s">
        <v>30</v>
      </c>
      <c r="E43" s="64">
        <f>E44</f>
        <v>15160.076979228879</v>
      </c>
      <c r="F43" s="64">
        <f t="shared" ref="F43:G43" si="20">F44</f>
        <v>0</v>
      </c>
      <c r="G43" s="64">
        <f t="shared" si="20"/>
        <v>450</v>
      </c>
      <c r="H43" s="39"/>
      <c r="I43" s="39"/>
      <c r="J43" s="21"/>
    </row>
    <row r="44" spans="1:10" s="29" customFormat="1" ht="45">
      <c r="A44" s="60"/>
      <c r="B44" s="76">
        <v>663</v>
      </c>
      <c r="C44" s="77"/>
      <c r="D44" s="78" t="s">
        <v>86</v>
      </c>
      <c r="E44" s="79">
        <f>SUM(E45)+E46</f>
        <v>15160.076979228879</v>
      </c>
      <c r="F44" s="79">
        <f>SUM(F45)+F46</f>
        <v>0</v>
      </c>
      <c r="G44" s="79">
        <f t="shared" ref="G44" si="21">SUM(G45)+G46</f>
        <v>450</v>
      </c>
      <c r="H44" s="39"/>
      <c r="I44" s="39"/>
    </row>
    <row r="45" spans="1:10" s="30" customFormat="1" ht="30.75" customHeight="1">
      <c r="A45" s="47"/>
      <c r="B45" s="48">
        <v>6631</v>
      </c>
      <c r="C45" s="80"/>
      <c r="D45" s="69" t="s">
        <v>87</v>
      </c>
      <c r="E45" s="71">
        <f>114061.6/7.5345</f>
        <v>15138.575884265711</v>
      </c>
      <c r="F45" s="71">
        <v>0</v>
      </c>
      <c r="G45" s="71">
        <v>450</v>
      </c>
      <c r="H45" s="39"/>
      <c r="I45" s="39"/>
      <c r="J45" s="29"/>
    </row>
    <row r="46" spans="1:10" s="30" customFormat="1" ht="30.75" customHeight="1">
      <c r="A46" s="47"/>
      <c r="B46" s="48" t="s">
        <v>88</v>
      </c>
      <c r="C46" s="80"/>
      <c r="D46" s="69" t="s">
        <v>89</v>
      </c>
      <c r="E46" s="71">
        <f>162/7.5345</f>
        <v>21.501094963169418</v>
      </c>
      <c r="F46" s="71">
        <v>0</v>
      </c>
      <c r="G46" s="71">
        <v>0</v>
      </c>
      <c r="H46" s="39"/>
      <c r="I46" s="39"/>
      <c r="J46" s="29"/>
    </row>
    <row r="47" spans="1:10" s="59" customFormat="1">
      <c r="A47" s="52"/>
      <c r="B47" s="53"/>
      <c r="C47" s="54" t="s">
        <v>90</v>
      </c>
      <c r="D47" s="55" t="s">
        <v>91</v>
      </c>
      <c r="E47" s="56">
        <f>E43</f>
        <v>15160.076979228879</v>
      </c>
      <c r="F47" s="56">
        <f t="shared" ref="F47" si="22">F43</f>
        <v>0</v>
      </c>
      <c r="G47" s="56">
        <f>G43</f>
        <v>450</v>
      </c>
      <c r="H47" s="57">
        <f t="shared" si="19"/>
        <v>2.9683226583648215</v>
      </c>
      <c r="I47" s="57" t="e">
        <f>G47/F47*100</f>
        <v>#DIV/0!</v>
      </c>
      <c r="J47" s="58"/>
    </row>
    <row r="48" spans="1:10" s="30" customFormat="1" ht="42" customHeight="1">
      <c r="A48" s="60">
        <v>6</v>
      </c>
      <c r="B48" s="61"/>
      <c r="C48" s="62"/>
      <c r="D48" s="63" t="s">
        <v>30</v>
      </c>
      <c r="E48" s="64">
        <f>E49+E53</f>
        <v>9518849.1552193239</v>
      </c>
      <c r="F48" s="64">
        <f t="shared" ref="F48:G48" si="23">F49+F53</f>
        <v>9939059</v>
      </c>
      <c r="G48" s="64">
        <f t="shared" si="23"/>
        <v>4746109.5900000008</v>
      </c>
      <c r="H48" s="39"/>
      <c r="I48" s="39"/>
      <c r="J48" s="29"/>
    </row>
    <row r="49" spans="1:10" s="25" customFormat="1" ht="30">
      <c r="A49" s="34"/>
      <c r="B49" s="35">
        <v>67</v>
      </c>
      <c r="C49" s="36"/>
      <c r="D49" s="37" t="s">
        <v>92</v>
      </c>
      <c r="E49" s="38">
        <f>SUM(E50)</f>
        <v>9518832.3790563401</v>
      </c>
      <c r="F49" s="38">
        <f>F50</f>
        <v>9939059</v>
      </c>
      <c r="G49" s="38">
        <f t="shared" ref="G49" si="24">SUM(G50)</f>
        <v>4746022.6500000004</v>
      </c>
      <c r="H49" s="39"/>
      <c r="I49" s="39"/>
      <c r="J49" s="21"/>
    </row>
    <row r="50" spans="1:10" s="30" customFormat="1" ht="45">
      <c r="A50" s="34"/>
      <c r="B50" s="35" t="s">
        <v>93</v>
      </c>
      <c r="C50" s="36"/>
      <c r="D50" s="37" t="s">
        <v>94</v>
      </c>
      <c r="E50" s="38">
        <f>SUM(E51:E52)</f>
        <v>9518832.3790563401</v>
      </c>
      <c r="F50" s="38">
        <f t="shared" ref="F50:G50" si="25">SUM(F51:F52)</f>
        <v>9939059</v>
      </c>
      <c r="G50" s="38">
        <f t="shared" si="25"/>
        <v>4746022.6500000004</v>
      </c>
      <c r="H50" s="39"/>
      <c r="I50" s="39"/>
      <c r="J50" s="29"/>
    </row>
    <row r="51" spans="1:10" s="25" customFormat="1" ht="30">
      <c r="A51" s="47"/>
      <c r="B51" s="48" t="s">
        <v>95</v>
      </c>
      <c r="C51" s="74"/>
      <c r="D51" s="43" t="s">
        <v>96</v>
      </c>
      <c r="E51" s="50">
        <f>69703373.84/7.5345</f>
        <v>9251227.5320193768</v>
      </c>
      <c r="F51" s="50">
        <v>9939059</v>
      </c>
      <c r="G51" s="50">
        <v>4746022.6500000004</v>
      </c>
      <c r="H51" s="39"/>
      <c r="I51" s="39"/>
      <c r="J51" s="21"/>
    </row>
    <row r="52" spans="1:10" s="25" customFormat="1" ht="45">
      <c r="A52" s="47"/>
      <c r="B52" s="48" t="s">
        <v>97</v>
      </c>
      <c r="C52" s="74"/>
      <c r="D52" s="43" t="s">
        <v>98</v>
      </c>
      <c r="E52" s="50">
        <f>2016268.72/7.5345</f>
        <v>267604.84703696327</v>
      </c>
      <c r="F52" s="50">
        <v>0</v>
      </c>
      <c r="G52" s="50">
        <v>0</v>
      </c>
      <c r="H52" s="39"/>
      <c r="I52" s="39"/>
      <c r="J52" s="21"/>
    </row>
    <row r="53" spans="1:10" s="25" customFormat="1">
      <c r="A53" s="47"/>
      <c r="B53" s="45" t="s">
        <v>64</v>
      </c>
      <c r="C53" s="81"/>
      <c r="D53" s="40" t="s">
        <v>65</v>
      </c>
      <c r="E53" s="46">
        <f>E54</f>
        <v>16.776162983608732</v>
      </c>
      <c r="F53" s="46">
        <f t="shared" ref="E53:G54" si="26">F54</f>
        <v>0</v>
      </c>
      <c r="G53" s="46">
        <f t="shared" si="26"/>
        <v>86.94</v>
      </c>
      <c r="H53" s="39"/>
      <c r="I53" s="39"/>
      <c r="J53" s="21"/>
    </row>
    <row r="54" spans="1:10" s="25" customFormat="1">
      <c r="A54" s="47"/>
      <c r="B54" s="45" t="s">
        <v>66</v>
      </c>
      <c r="C54" s="81"/>
      <c r="D54" s="40" t="s">
        <v>67</v>
      </c>
      <c r="E54" s="46">
        <f t="shared" si="26"/>
        <v>16.776162983608732</v>
      </c>
      <c r="F54" s="46">
        <f t="shared" si="26"/>
        <v>0</v>
      </c>
      <c r="G54" s="46">
        <f t="shared" si="26"/>
        <v>86.94</v>
      </c>
      <c r="H54" s="39"/>
      <c r="I54" s="39"/>
      <c r="J54" s="21"/>
    </row>
    <row r="55" spans="1:10" s="25" customFormat="1">
      <c r="A55" s="47"/>
      <c r="B55" s="48" t="s">
        <v>68</v>
      </c>
      <c r="C55" s="74"/>
      <c r="D55" s="43" t="s">
        <v>67</v>
      </c>
      <c r="E55" s="50">
        <f>126.4/7.5345</f>
        <v>16.776162983608732</v>
      </c>
      <c r="F55" s="50">
        <v>0</v>
      </c>
      <c r="G55" s="50">
        <v>86.94</v>
      </c>
      <c r="H55" s="39"/>
      <c r="I55" s="39"/>
      <c r="J55" s="21"/>
    </row>
    <row r="56" spans="1:10" s="59" customFormat="1">
      <c r="A56" s="52"/>
      <c r="B56" s="52"/>
      <c r="C56" s="54" t="s">
        <v>99</v>
      </c>
      <c r="D56" s="55" t="s">
        <v>100</v>
      </c>
      <c r="E56" s="56">
        <f>E48</f>
        <v>9518849.1552193239</v>
      </c>
      <c r="F56" s="56">
        <f t="shared" ref="F56:G56" si="27">F48</f>
        <v>9939059</v>
      </c>
      <c r="G56" s="56">
        <f t="shared" si="27"/>
        <v>4746109.5900000008</v>
      </c>
      <c r="H56" s="57">
        <f t="shared" si="19"/>
        <v>49.860119775063772</v>
      </c>
      <c r="I56" s="57">
        <f t="shared" si="10"/>
        <v>47.752101984705</v>
      </c>
      <c r="J56" s="58"/>
    </row>
    <row r="57" spans="1:10" s="67" customFormat="1">
      <c r="A57" s="34">
        <v>6</v>
      </c>
      <c r="B57" s="34"/>
      <c r="C57" s="62"/>
      <c r="D57" s="72" t="s">
        <v>30</v>
      </c>
      <c r="E57" s="64">
        <f>E58</f>
        <v>222016.71378326364</v>
      </c>
      <c r="F57" s="64">
        <f t="shared" ref="F57:G59" si="28">F58</f>
        <v>111795</v>
      </c>
      <c r="G57" s="64">
        <f t="shared" si="28"/>
        <v>100753.24</v>
      </c>
      <c r="H57" s="39"/>
      <c r="I57" s="39"/>
      <c r="J57" s="66"/>
    </row>
    <row r="58" spans="1:10" s="67" customFormat="1" ht="30">
      <c r="A58" s="34"/>
      <c r="B58" s="34">
        <v>67</v>
      </c>
      <c r="C58" s="62"/>
      <c r="D58" s="40" t="s">
        <v>92</v>
      </c>
      <c r="E58" s="64">
        <f>E59</f>
        <v>222016.71378326364</v>
      </c>
      <c r="F58" s="64">
        <f t="shared" si="28"/>
        <v>111795</v>
      </c>
      <c r="G58" s="64">
        <f t="shared" si="28"/>
        <v>100753.24</v>
      </c>
      <c r="H58" s="39"/>
      <c r="I58" s="39"/>
      <c r="J58" s="66"/>
    </row>
    <row r="59" spans="1:10" s="67" customFormat="1" ht="45">
      <c r="A59" s="34"/>
      <c r="B59" s="34">
        <v>671</v>
      </c>
      <c r="C59" s="62"/>
      <c r="D59" s="40" t="s">
        <v>94</v>
      </c>
      <c r="E59" s="64">
        <f>E60</f>
        <v>222016.71378326364</v>
      </c>
      <c r="F59" s="64">
        <f t="shared" si="28"/>
        <v>111795</v>
      </c>
      <c r="G59" s="64">
        <f t="shared" si="28"/>
        <v>100753.24</v>
      </c>
      <c r="H59" s="39"/>
      <c r="I59" s="39"/>
      <c r="J59" s="66"/>
    </row>
    <row r="60" spans="1:10" s="67" customFormat="1" ht="45">
      <c r="A60" s="34"/>
      <c r="B60" s="82">
        <v>6712</v>
      </c>
      <c r="C60" s="83"/>
      <c r="D60" s="69" t="s">
        <v>101</v>
      </c>
      <c r="E60" s="70">
        <f>1672784.93/7.5345</f>
        <v>222016.71378326364</v>
      </c>
      <c r="F60" s="70">
        <v>111795</v>
      </c>
      <c r="G60" s="70">
        <v>100753.24</v>
      </c>
      <c r="H60" s="39"/>
      <c r="I60" s="39"/>
      <c r="J60" s="66"/>
    </row>
    <row r="61" spans="1:10" s="59" customFormat="1">
      <c r="A61" s="52"/>
      <c r="B61" s="52"/>
      <c r="C61" s="54">
        <v>12</v>
      </c>
      <c r="D61" s="55" t="s">
        <v>102</v>
      </c>
      <c r="E61" s="56">
        <f>E58</f>
        <v>222016.71378326364</v>
      </c>
      <c r="F61" s="56">
        <f>F58</f>
        <v>111795</v>
      </c>
      <c r="G61" s="56">
        <f>G58</f>
        <v>100753.24</v>
      </c>
      <c r="H61" s="57">
        <f t="shared" si="19"/>
        <v>45.380925734427805</v>
      </c>
      <c r="I61" s="57">
        <f t="shared" si="10"/>
        <v>90.123207656871955</v>
      </c>
      <c r="J61" s="58"/>
    </row>
    <row r="62" spans="1:10" s="67" customFormat="1">
      <c r="A62" s="34">
        <v>6</v>
      </c>
      <c r="B62" s="34"/>
      <c r="C62" s="62"/>
      <c r="D62" s="72" t="s">
        <v>30</v>
      </c>
      <c r="E62" s="64">
        <f>E66+E63+E69</f>
        <v>1118897.395978499</v>
      </c>
      <c r="F62" s="64">
        <f t="shared" ref="F62:G62" si="29">F66+F63+F69</f>
        <v>1840168</v>
      </c>
      <c r="G62" s="64">
        <f t="shared" si="29"/>
        <v>562582.35</v>
      </c>
      <c r="H62" s="39"/>
      <c r="I62" s="39"/>
      <c r="J62" s="66"/>
    </row>
    <row r="63" spans="1:10" s="67" customFormat="1">
      <c r="A63" s="34"/>
      <c r="B63" s="34">
        <v>64</v>
      </c>
      <c r="C63" s="62"/>
      <c r="D63" s="40" t="s">
        <v>70</v>
      </c>
      <c r="E63" s="64">
        <f>E64</f>
        <v>8.0960913132921891E-2</v>
      </c>
      <c r="F63" s="64">
        <f t="shared" ref="F63:G64" si="30">F64</f>
        <v>0</v>
      </c>
      <c r="G63" s="64">
        <f t="shared" si="30"/>
        <v>0</v>
      </c>
      <c r="H63" s="39"/>
      <c r="I63" s="39"/>
      <c r="J63" s="66"/>
    </row>
    <row r="64" spans="1:10" s="67" customFormat="1">
      <c r="A64" s="34"/>
      <c r="B64" s="34">
        <v>641</v>
      </c>
      <c r="C64" s="62"/>
      <c r="D64" s="40" t="s">
        <v>71</v>
      </c>
      <c r="E64" s="64">
        <f>E65</f>
        <v>8.0960913132921891E-2</v>
      </c>
      <c r="F64" s="64">
        <f t="shared" si="30"/>
        <v>0</v>
      </c>
      <c r="G64" s="64">
        <f t="shared" si="30"/>
        <v>0</v>
      </c>
      <c r="H64" s="39"/>
      <c r="I64" s="39"/>
      <c r="J64" s="66"/>
    </row>
    <row r="65" spans="1:10" s="67" customFormat="1">
      <c r="A65" s="34"/>
      <c r="B65" s="82">
        <v>6415</v>
      </c>
      <c r="C65" s="62"/>
      <c r="D65" s="69" t="s">
        <v>73</v>
      </c>
      <c r="E65" s="70">
        <f>0.61/7.5345</f>
        <v>8.0960913132921891E-2</v>
      </c>
      <c r="F65" s="70">
        <v>0</v>
      </c>
      <c r="G65" s="70">
        <v>0</v>
      </c>
      <c r="H65" s="39"/>
      <c r="I65" s="39"/>
      <c r="J65" s="66"/>
    </row>
    <row r="66" spans="1:10" s="67" customFormat="1" ht="45">
      <c r="A66" s="34"/>
      <c r="B66" s="34">
        <v>65</v>
      </c>
      <c r="C66" s="62"/>
      <c r="D66" s="40" t="s">
        <v>74</v>
      </c>
      <c r="E66" s="64">
        <f t="shared" ref="E66:G67" si="31">E67</f>
        <v>1118724.8510186477</v>
      </c>
      <c r="F66" s="64">
        <f t="shared" si="31"/>
        <v>1840168</v>
      </c>
      <c r="G66" s="64">
        <f t="shared" si="31"/>
        <v>561750.88</v>
      </c>
      <c r="H66" s="39"/>
      <c r="I66" s="39"/>
      <c r="J66" s="66"/>
    </row>
    <row r="67" spans="1:10" s="67" customFormat="1">
      <c r="A67" s="34"/>
      <c r="B67" s="34">
        <v>652</v>
      </c>
      <c r="C67" s="62"/>
      <c r="D67" s="40" t="s">
        <v>75</v>
      </c>
      <c r="E67" s="64">
        <f t="shared" si="31"/>
        <v>1118724.8510186477</v>
      </c>
      <c r="F67" s="64">
        <f t="shared" si="31"/>
        <v>1840168</v>
      </c>
      <c r="G67" s="64">
        <f t="shared" si="31"/>
        <v>561750.88</v>
      </c>
      <c r="H67" s="39"/>
      <c r="I67" s="39"/>
      <c r="J67" s="66"/>
    </row>
    <row r="68" spans="1:10" s="67" customFormat="1">
      <c r="A68" s="34"/>
      <c r="B68" s="82">
        <v>6526</v>
      </c>
      <c r="C68" s="62"/>
      <c r="D68" s="40" t="s">
        <v>103</v>
      </c>
      <c r="E68" s="64">
        <f>8429032.39/7.5345</f>
        <v>1118724.8510186477</v>
      </c>
      <c r="F68" s="64">
        <v>1840168</v>
      </c>
      <c r="G68" s="64">
        <v>561750.88</v>
      </c>
      <c r="H68" s="39"/>
      <c r="I68" s="39"/>
      <c r="J68" s="66"/>
    </row>
    <row r="69" spans="1:10" s="67" customFormat="1">
      <c r="A69" s="34"/>
      <c r="B69" s="34">
        <v>68</v>
      </c>
      <c r="C69" s="62"/>
      <c r="D69" s="40" t="s">
        <v>65</v>
      </c>
      <c r="E69" s="64">
        <f t="shared" ref="E69:G70" si="32">E70</f>
        <v>172.46399893821754</v>
      </c>
      <c r="F69" s="64">
        <f t="shared" si="32"/>
        <v>0</v>
      </c>
      <c r="G69" s="64">
        <f t="shared" si="32"/>
        <v>831.47</v>
      </c>
      <c r="H69" s="39"/>
      <c r="I69" s="39"/>
      <c r="J69" s="66"/>
    </row>
    <row r="70" spans="1:10" s="67" customFormat="1">
      <c r="A70" s="34"/>
      <c r="B70" s="34">
        <v>683</v>
      </c>
      <c r="C70" s="62"/>
      <c r="D70" s="40" t="s">
        <v>67</v>
      </c>
      <c r="E70" s="64">
        <f t="shared" si="32"/>
        <v>172.46399893821754</v>
      </c>
      <c r="F70" s="64">
        <f t="shared" si="32"/>
        <v>0</v>
      </c>
      <c r="G70" s="64">
        <f t="shared" si="32"/>
        <v>831.47</v>
      </c>
      <c r="H70" s="39"/>
      <c r="I70" s="39"/>
      <c r="J70" s="66"/>
    </row>
    <row r="71" spans="1:10" s="67" customFormat="1">
      <c r="A71" s="34"/>
      <c r="B71" s="82">
        <v>6831</v>
      </c>
      <c r="C71" s="62"/>
      <c r="D71" s="69" t="s">
        <v>67</v>
      </c>
      <c r="E71" s="64">
        <f>1299.43/7.5345</f>
        <v>172.46399893821754</v>
      </c>
      <c r="F71" s="64">
        <v>0</v>
      </c>
      <c r="G71" s="64">
        <v>831.47</v>
      </c>
      <c r="H71" s="39"/>
      <c r="I71" s="39"/>
      <c r="J71" s="66"/>
    </row>
    <row r="72" spans="1:10" s="59" customFormat="1">
      <c r="A72" s="52"/>
      <c r="B72" s="52"/>
      <c r="C72" s="54">
        <v>43</v>
      </c>
      <c r="D72" s="55" t="s">
        <v>104</v>
      </c>
      <c r="E72" s="56">
        <f t="shared" ref="E72:G72" si="33">E62</f>
        <v>1118897.395978499</v>
      </c>
      <c r="F72" s="56">
        <f t="shared" si="33"/>
        <v>1840168</v>
      </c>
      <c r="G72" s="56">
        <f t="shared" si="33"/>
        <v>562582.35</v>
      </c>
      <c r="H72" s="57">
        <f t="shared" ref="H72:H91" si="34">G72/E72*100</f>
        <v>50.280066074155982</v>
      </c>
      <c r="I72" s="57">
        <f t="shared" ref="I72:I91" si="35">G72/F72*100</f>
        <v>30.572336330161161</v>
      </c>
      <c r="J72" s="58"/>
    </row>
    <row r="73" spans="1:10" s="67" customFormat="1">
      <c r="A73" s="34">
        <v>6</v>
      </c>
      <c r="B73" s="34"/>
      <c r="C73" s="62"/>
      <c r="D73" s="72" t="s">
        <v>30</v>
      </c>
      <c r="E73" s="64">
        <f>E74+E78</f>
        <v>2107903.7852544961</v>
      </c>
      <c r="F73" s="64">
        <f t="shared" ref="F73" si="36">F74+F78</f>
        <v>2689723</v>
      </c>
      <c r="G73" s="64">
        <f>G74+G78</f>
        <v>105673.06</v>
      </c>
      <c r="H73" s="39"/>
      <c r="I73" s="39"/>
      <c r="J73" s="66"/>
    </row>
    <row r="74" spans="1:10" s="67" customFormat="1" ht="30">
      <c r="A74" s="34"/>
      <c r="B74" s="34">
        <v>63</v>
      </c>
      <c r="C74" s="62"/>
      <c r="D74" s="40" t="s">
        <v>31</v>
      </c>
      <c r="E74" s="64">
        <f>E75</f>
        <v>2107903.7852544961</v>
      </c>
      <c r="F74" s="64">
        <f t="shared" ref="F74" si="37">F75</f>
        <v>2689723</v>
      </c>
      <c r="G74" s="64">
        <f>G75</f>
        <v>105671.28</v>
      </c>
      <c r="H74" s="39"/>
      <c r="I74" s="39"/>
      <c r="J74" s="66"/>
    </row>
    <row r="75" spans="1:10" s="67" customFormat="1" ht="30">
      <c r="A75" s="34"/>
      <c r="B75" s="34">
        <v>632</v>
      </c>
      <c r="C75" s="62"/>
      <c r="D75" s="40" t="s">
        <v>37</v>
      </c>
      <c r="E75" s="64">
        <f>E76+E77</f>
        <v>2107903.7852544961</v>
      </c>
      <c r="F75" s="64">
        <f t="shared" ref="F75:G75" si="38">F76+F77</f>
        <v>2689723</v>
      </c>
      <c r="G75" s="64">
        <f t="shared" si="38"/>
        <v>105671.28</v>
      </c>
      <c r="H75" s="39"/>
      <c r="I75" s="39"/>
      <c r="J75" s="66"/>
    </row>
    <row r="76" spans="1:10" s="67" customFormat="1">
      <c r="A76" s="34"/>
      <c r="B76" s="82">
        <v>6323</v>
      </c>
      <c r="C76" s="62"/>
      <c r="D76" s="69" t="s">
        <v>105</v>
      </c>
      <c r="E76" s="64">
        <f>6350898.36/7.5345</f>
        <v>842909.06629504275</v>
      </c>
      <c r="F76" s="64">
        <v>2022969</v>
      </c>
      <c r="G76" s="64">
        <v>105671.28</v>
      </c>
      <c r="H76" s="39"/>
      <c r="I76" s="39"/>
      <c r="J76" s="66"/>
    </row>
    <row r="77" spans="1:10" s="67" customFormat="1">
      <c r="A77" s="34"/>
      <c r="B77" s="82">
        <v>6324</v>
      </c>
      <c r="C77" s="62"/>
      <c r="D77" s="69" t="s">
        <v>106</v>
      </c>
      <c r="E77" s="64">
        <f>9531102.71/7.5345</f>
        <v>1264994.7189594533</v>
      </c>
      <c r="F77" s="64">
        <v>666754</v>
      </c>
      <c r="G77" s="64"/>
      <c r="H77" s="39"/>
      <c r="I77" s="39"/>
      <c r="J77" s="66"/>
    </row>
    <row r="78" spans="1:10" s="66" customFormat="1">
      <c r="A78" s="34"/>
      <c r="B78" s="84">
        <v>64</v>
      </c>
      <c r="C78" s="62"/>
      <c r="D78" s="40" t="s">
        <v>70</v>
      </c>
      <c r="E78" s="64">
        <f>E79</f>
        <v>0</v>
      </c>
      <c r="F78" s="64">
        <f t="shared" ref="F78:G79" si="39">F79</f>
        <v>0</v>
      </c>
      <c r="G78" s="64">
        <f t="shared" si="39"/>
        <v>1.78</v>
      </c>
      <c r="H78" s="39"/>
      <c r="I78" s="39"/>
    </row>
    <row r="79" spans="1:10" s="25" customFormat="1">
      <c r="A79" s="34"/>
      <c r="B79" s="84">
        <v>641</v>
      </c>
      <c r="C79" s="62"/>
      <c r="D79" s="40" t="s">
        <v>71</v>
      </c>
      <c r="E79" s="64">
        <f>E80</f>
        <v>0</v>
      </c>
      <c r="F79" s="64">
        <f t="shared" si="39"/>
        <v>0</v>
      </c>
      <c r="G79" s="64">
        <f t="shared" si="39"/>
        <v>1.78</v>
      </c>
      <c r="H79" s="39"/>
      <c r="I79" s="39"/>
      <c r="J79" s="21"/>
    </row>
    <row r="80" spans="1:10" s="30" customFormat="1" ht="15.75" customHeight="1">
      <c r="A80" s="34"/>
      <c r="B80" s="82">
        <v>6413</v>
      </c>
      <c r="C80" s="62"/>
      <c r="D80" s="69" t="s">
        <v>107</v>
      </c>
      <c r="E80" s="64">
        <v>0</v>
      </c>
      <c r="F80" s="64">
        <v>0</v>
      </c>
      <c r="G80" s="64">
        <v>1.78</v>
      </c>
      <c r="H80" s="39"/>
      <c r="I80" s="39"/>
      <c r="J80" s="29"/>
    </row>
    <row r="81" spans="1:10" s="59" customFormat="1">
      <c r="A81" s="52"/>
      <c r="B81" s="52"/>
      <c r="C81" s="54">
        <v>563</v>
      </c>
      <c r="D81" s="55" t="s">
        <v>108</v>
      </c>
      <c r="E81" s="56">
        <f t="shared" ref="E81:G81" si="40">E73</f>
        <v>2107903.7852544961</v>
      </c>
      <c r="F81" s="56">
        <f t="shared" si="40"/>
        <v>2689723</v>
      </c>
      <c r="G81" s="56">
        <f t="shared" si="40"/>
        <v>105673.06</v>
      </c>
      <c r="H81" s="57">
        <f t="shared" si="34"/>
        <v>5.01318232545617</v>
      </c>
      <c r="I81" s="57">
        <f t="shared" si="35"/>
        <v>3.9287711039389559</v>
      </c>
      <c r="J81" s="58"/>
    </row>
    <row r="82" spans="1:10" s="25" customFormat="1">
      <c r="A82" s="34">
        <v>6</v>
      </c>
      <c r="B82" s="34"/>
      <c r="C82" s="62"/>
      <c r="D82" s="72" t="s">
        <v>30</v>
      </c>
      <c r="E82" s="64">
        <f>E83</f>
        <v>22582.158072864819</v>
      </c>
      <c r="F82" s="64">
        <f t="shared" ref="F82:G84" si="41">F83</f>
        <v>0</v>
      </c>
      <c r="G82" s="64">
        <f t="shared" si="41"/>
        <v>2317.88</v>
      </c>
      <c r="H82" s="39"/>
      <c r="I82" s="39"/>
      <c r="J82" s="21"/>
    </row>
    <row r="83" spans="1:10" s="25" customFormat="1" ht="30">
      <c r="A83" s="34"/>
      <c r="B83" s="34">
        <v>63</v>
      </c>
      <c r="C83" s="62"/>
      <c r="D83" s="40" t="s">
        <v>31</v>
      </c>
      <c r="E83" s="64">
        <f>E84</f>
        <v>22582.158072864819</v>
      </c>
      <c r="F83" s="64">
        <f t="shared" si="41"/>
        <v>0</v>
      </c>
      <c r="G83" s="64">
        <f t="shared" si="41"/>
        <v>2317.88</v>
      </c>
      <c r="H83" s="39"/>
      <c r="I83" s="39"/>
      <c r="J83" s="21"/>
    </row>
    <row r="84" spans="1:10" s="25" customFormat="1" ht="30">
      <c r="A84" s="34"/>
      <c r="B84" s="34">
        <v>632</v>
      </c>
      <c r="C84" s="62"/>
      <c r="D84" s="40" t="s">
        <v>37</v>
      </c>
      <c r="E84" s="64">
        <f>E85</f>
        <v>22582.158072864819</v>
      </c>
      <c r="F84" s="64">
        <f t="shared" si="41"/>
        <v>0</v>
      </c>
      <c r="G84" s="64">
        <f t="shared" si="41"/>
        <v>2317.88</v>
      </c>
      <c r="H84" s="39"/>
      <c r="I84" s="39"/>
      <c r="J84" s="21"/>
    </row>
    <row r="85" spans="1:10" s="25" customFormat="1">
      <c r="A85" s="34"/>
      <c r="B85" s="82">
        <v>6323</v>
      </c>
      <c r="C85" s="62"/>
      <c r="D85" s="69" t="s">
        <v>105</v>
      </c>
      <c r="E85" s="64">
        <f>170145.27/7.5345</f>
        <v>22582.158072864819</v>
      </c>
      <c r="F85" s="64">
        <v>0</v>
      </c>
      <c r="G85" s="64">
        <v>2317.88</v>
      </c>
      <c r="H85" s="39"/>
      <c r="I85" s="39"/>
      <c r="J85" s="21"/>
    </row>
    <row r="86" spans="1:10" s="59" customFormat="1">
      <c r="A86" s="52"/>
      <c r="B86" s="52"/>
      <c r="C86" s="54">
        <v>51</v>
      </c>
      <c r="D86" s="55" t="s">
        <v>109</v>
      </c>
      <c r="E86" s="56">
        <f t="shared" ref="E86:F86" si="42">E82</f>
        <v>22582.158072864819</v>
      </c>
      <c r="F86" s="56">
        <f t="shared" si="42"/>
        <v>0</v>
      </c>
      <c r="G86" s="56">
        <f>G82</f>
        <v>2317.88</v>
      </c>
      <c r="H86" s="57">
        <f t="shared" si="34"/>
        <v>10.2642094370299</v>
      </c>
      <c r="I86" s="57" t="e">
        <f>G86/F86*100</f>
        <v>#DIV/0!</v>
      </c>
      <c r="J86" s="58"/>
    </row>
    <row r="87" spans="1:10" s="25" customFormat="1">
      <c r="A87" s="34">
        <v>6</v>
      </c>
      <c r="B87" s="34"/>
      <c r="C87" s="62"/>
      <c r="D87" s="72" t="s">
        <v>30</v>
      </c>
      <c r="E87" s="64">
        <f>E88</f>
        <v>0</v>
      </c>
      <c r="F87" s="64">
        <f t="shared" ref="F87:G89" si="43">F88</f>
        <v>0</v>
      </c>
      <c r="G87" s="64">
        <f t="shared" si="43"/>
        <v>167.2</v>
      </c>
      <c r="H87" s="39"/>
      <c r="I87" s="39"/>
      <c r="J87" s="21"/>
    </row>
    <row r="88" spans="1:10" s="25" customFormat="1" ht="45">
      <c r="A88" s="34"/>
      <c r="B88" s="34">
        <v>66</v>
      </c>
      <c r="C88" s="62"/>
      <c r="D88" s="40" t="s">
        <v>110</v>
      </c>
      <c r="E88" s="64">
        <f>E89</f>
        <v>0</v>
      </c>
      <c r="F88" s="64">
        <f t="shared" si="43"/>
        <v>0</v>
      </c>
      <c r="G88" s="64">
        <f t="shared" si="43"/>
        <v>167.2</v>
      </c>
      <c r="H88" s="39"/>
      <c r="I88" s="39"/>
      <c r="J88" s="21"/>
    </row>
    <row r="89" spans="1:10" s="25" customFormat="1" ht="45">
      <c r="A89" s="34"/>
      <c r="B89" s="34">
        <v>663</v>
      </c>
      <c r="C89" s="62"/>
      <c r="D89" s="40" t="s">
        <v>86</v>
      </c>
      <c r="E89" s="64">
        <f>E90</f>
        <v>0</v>
      </c>
      <c r="F89" s="64">
        <f t="shared" si="43"/>
        <v>0</v>
      </c>
      <c r="G89" s="64">
        <f t="shared" si="43"/>
        <v>167.2</v>
      </c>
      <c r="H89" s="39"/>
      <c r="I89" s="39"/>
      <c r="J89" s="21"/>
    </row>
    <row r="90" spans="1:10" s="25" customFormat="1">
      <c r="A90" s="34"/>
      <c r="B90" s="34">
        <v>6631</v>
      </c>
      <c r="C90" s="62"/>
      <c r="D90" s="69" t="s">
        <v>111</v>
      </c>
      <c r="E90" s="64">
        <v>0</v>
      </c>
      <c r="F90" s="64">
        <v>0</v>
      </c>
      <c r="G90" s="64">
        <v>167.2</v>
      </c>
      <c r="H90" s="39"/>
      <c r="I90" s="39"/>
      <c r="J90" s="21"/>
    </row>
    <row r="91" spans="1:10" s="59" customFormat="1">
      <c r="A91" s="52"/>
      <c r="B91" s="52"/>
      <c r="C91" s="54">
        <v>63</v>
      </c>
      <c r="D91" s="55" t="s">
        <v>112</v>
      </c>
      <c r="E91" s="56">
        <f>E87</f>
        <v>0</v>
      </c>
      <c r="F91" s="56">
        <f t="shared" ref="F91:G91" si="44">F87</f>
        <v>0</v>
      </c>
      <c r="G91" s="56">
        <f t="shared" si="44"/>
        <v>167.2</v>
      </c>
      <c r="H91" s="57" t="e">
        <f t="shared" si="34"/>
        <v>#DIV/0!</v>
      </c>
      <c r="I91" s="57" t="e">
        <f t="shared" si="35"/>
        <v>#DIV/0!</v>
      </c>
      <c r="J91" s="58"/>
    </row>
    <row r="92" spans="1:10" s="90" customFormat="1">
      <c r="A92" s="85">
        <v>7</v>
      </c>
      <c r="B92" s="85"/>
      <c r="C92" s="86"/>
      <c r="D92" s="87" t="s">
        <v>30</v>
      </c>
      <c r="E92" s="88">
        <f>E93</f>
        <v>66097.285818567922</v>
      </c>
      <c r="F92" s="88">
        <f t="shared" ref="F92:G94" si="45">F93</f>
        <v>0</v>
      </c>
      <c r="G92" s="88">
        <f t="shared" si="45"/>
        <v>0</v>
      </c>
      <c r="H92" s="32"/>
      <c r="I92" s="32"/>
      <c r="J92" s="89"/>
    </row>
    <row r="93" spans="1:10" s="25" customFormat="1" ht="30">
      <c r="A93" s="34"/>
      <c r="B93" s="34">
        <v>71</v>
      </c>
      <c r="C93" s="62"/>
      <c r="D93" s="91" t="s">
        <v>113</v>
      </c>
      <c r="E93" s="64">
        <f>E94</f>
        <v>66097.285818567922</v>
      </c>
      <c r="F93" s="64">
        <f t="shared" si="45"/>
        <v>0</v>
      </c>
      <c r="G93" s="64">
        <f t="shared" si="45"/>
        <v>0</v>
      </c>
      <c r="H93" s="39"/>
      <c r="I93" s="39"/>
      <c r="J93" s="21"/>
    </row>
    <row r="94" spans="1:10" s="25" customFormat="1" ht="30">
      <c r="A94" s="34"/>
      <c r="B94" s="34">
        <v>711</v>
      </c>
      <c r="C94" s="62"/>
      <c r="D94" s="91" t="s">
        <v>114</v>
      </c>
      <c r="E94" s="64">
        <f>E95</f>
        <v>66097.285818567922</v>
      </c>
      <c r="F94" s="64">
        <f t="shared" si="45"/>
        <v>0</v>
      </c>
      <c r="G94" s="64">
        <f t="shared" si="45"/>
        <v>0</v>
      </c>
      <c r="H94" s="39"/>
      <c r="I94" s="39"/>
      <c r="J94" s="21"/>
    </row>
    <row r="95" spans="1:10" s="25" customFormat="1">
      <c r="A95" s="34"/>
      <c r="B95" s="82">
        <v>7111</v>
      </c>
      <c r="C95" s="62"/>
      <c r="D95" s="69" t="s">
        <v>105</v>
      </c>
      <c r="E95" s="64">
        <f>498010/7.5345</f>
        <v>66097.285818567922</v>
      </c>
      <c r="F95" s="64">
        <v>0</v>
      </c>
      <c r="G95" s="64">
        <v>0</v>
      </c>
      <c r="H95" s="39"/>
      <c r="I95" s="39"/>
      <c r="J95" s="21"/>
    </row>
    <row r="96" spans="1:10" s="59" customFormat="1">
      <c r="A96" s="52"/>
      <c r="B96" s="52"/>
      <c r="C96" s="54">
        <v>71</v>
      </c>
      <c r="D96" s="55" t="s">
        <v>115</v>
      </c>
      <c r="E96" s="56">
        <f>E93</f>
        <v>66097.285818567922</v>
      </c>
      <c r="F96" s="56">
        <f t="shared" ref="F96:G96" si="46">F93</f>
        <v>0</v>
      </c>
      <c r="G96" s="56">
        <f t="shared" si="46"/>
        <v>0</v>
      </c>
      <c r="H96" s="57"/>
      <c r="I96" s="57"/>
      <c r="J96" s="58"/>
    </row>
    <row r="97" spans="1:10" s="67" customFormat="1">
      <c r="A97" s="342" t="s">
        <v>116</v>
      </c>
      <c r="B97" s="343"/>
      <c r="C97" s="343"/>
      <c r="D97" s="344"/>
      <c r="E97" s="64">
        <f>E98-E96</f>
        <v>15016890.08693344</v>
      </c>
      <c r="F97" s="64">
        <f t="shared" ref="F97:G97" si="47">F98-F96</f>
        <v>15477342</v>
      </c>
      <c r="G97" s="64">
        <f t="shared" si="47"/>
        <v>5872985.1699999999</v>
      </c>
      <c r="H97" s="92"/>
      <c r="I97" s="92"/>
      <c r="J97" s="66"/>
    </row>
    <row r="98" spans="1:10" s="25" customFormat="1">
      <c r="A98" s="345" t="s">
        <v>117</v>
      </c>
      <c r="B98" s="345"/>
      <c r="C98" s="345"/>
      <c r="D98" s="345"/>
      <c r="E98" s="93">
        <f>E26+E42+E47+E56+E61+E72+E81+E86+E96+E91</f>
        <v>15082987.372752007</v>
      </c>
      <c r="F98" s="93">
        <f>F26+F42+F47+F56+F61+F72+F81+F86+F96+F91</f>
        <v>15477342</v>
      </c>
      <c r="G98" s="93">
        <f>G26+G42+G47+G56+G61+G72+G81+G86+G96+G91</f>
        <v>5872985.1699999999</v>
      </c>
      <c r="H98" s="39"/>
      <c r="I98" s="39"/>
      <c r="J98" s="21"/>
    </row>
    <row r="99" spans="1:10" s="30" customFormat="1">
      <c r="A99" s="94"/>
      <c r="B99" s="95"/>
      <c r="C99" s="95"/>
      <c r="D99" s="96">
        <v>7</v>
      </c>
      <c r="E99" s="96">
        <f>E98-E97</f>
        <v>66097.2858185675</v>
      </c>
      <c r="F99" s="96">
        <f t="shared" ref="F99:G99" si="48">F98-F97</f>
        <v>0</v>
      </c>
      <c r="G99" s="96">
        <f t="shared" si="48"/>
        <v>0</v>
      </c>
      <c r="H99" s="21"/>
      <c r="I99" s="21"/>
      <c r="J99" s="29"/>
    </row>
    <row r="100" spans="1:10" s="25" customFormat="1" ht="15.75">
      <c r="A100" s="67"/>
      <c r="B100" s="95"/>
      <c r="C100" s="95"/>
      <c r="D100" s="97"/>
      <c r="E100" s="95"/>
      <c r="F100" s="95"/>
      <c r="G100" s="95"/>
      <c r="H100" s="98"/>
      <c r="I100" s="98"/>
      <c r="J100" s="21"/>
    </row>
    <row r="101" spans="1:10" s="25" customFormat="1" ht="49.5" customHeight="1">
      <c r="A101" s="346" t="s">
        <v>118</v>
      </c>
      <c r="B101" s="346"/>
      <c r="C101" s="346"/>
      <c r="D101" s="346"/>
      <c r="E101" s="346"/>
      <c r="F101" s="346"/>
      <c r="G101" s="346"/>
      <c r="H101" s="346"/>
      <c r="I101" s="346"/>
      <c r="J101" s="21"/>
    </row>
    <row r="102" spans="1:10" s="100" customFormat="1" ht="60">
      <c r="A102" s="22" t="s">
        <v>22</v>
      </c>
      <c r="B102" s="23" t="s">
        <v>23</v>
      </c>
      <c r="C102" s="23" t="s">
        <v>24</v>
      </c>
      <c r="D102" s="24" t="s">
        <v>25</v>
      </c>
      <c r="E102" s="22" t="s">
        <v>3</v>
      </c>
      <c r="F102" s="22" t="s">
        <v>4</v>
      </c>
      <c r="G102" s="22" t="s">
        <v>5</v>
      </c>
      <c r="H102" s="23" t="s">
        <v>27</v>
      </c>
      <c r="I102" s="23" t="s">
        <v>27</v>
      </c>
      <c r="J102" s="99"/>
    </row>
    <row r="103" spans="1:10" s="25" customFormat="1">
      <c r="A103" s="335">
        <v>1</v>
      </c>
      <c r="B103" s="335"/>
      <c r="C103" s="335"/>
      <c r="D103" s="335"/>
      <c r="E103" s="26">
        <v>2</v>
      </c>
      <c r="F103" s="27">
        <v>3</v>
      </c>
      <c r="G103" s="27">
        <v>4</v>
      </c>
      <c r="H103" s="26" t="s">
        <v>28</v>
      </c>
      <c r="I103" s="28" t="s">
        <v>29</v>
      </c>
      <c r="J103" s="21"/>
    </row>
    <row r="104" spans="1:10" s="90" customFormat="1">
      <c r="A104" s="101">
        <v>3</v>
      </c>
      <c r="B104" s="101"/>
      <c r="C104" s="102"/>
      <c r="D104" s="103" t="s">
        <v>119</v>
      </c>
      <c r="E104" s="104">
        <f>E160+E168+E215+E266+E316+E334+E370+E389</f>
        <v>12180960.176521337</v>
      </c>
      <c r="F104" s="104">
        <f>F160+F168+F215+F266+F316+F334+F370+F389</f>
        <v>13618735</v>
      </c>
      <c r="G104" s="104">
        <f>G160+G168+G215+G266+G316+G334+G370+G389</f>
        <v>6858298.5799999991</v>
      </c>
      <c r="H104" s="105">
        <f>G104/E104*100</f>
        <v>56.303431590058814</v>
      </c>
      <c r="I104" s="105">
        <f>G104/F104*100</f>
        <v>50.359292401239905</v>
      </c>
      <c r="J104" s="89"/>
    </row>
    <row r="105" spans="1:10" s="25" customFormat="1">
      <c r="A105" s="60"/>
      <c r="B105" s="106">
        <v>31</v>
      </c>
      <c r="C105" s="107"/>
      <c r="D105" s="108" t="s">
        <v>120</v>
      </c>
      <c r="E105" s="109">
        <f>SUM(E106,E112)+E110</f>
        <v>6658091.3292189259</v>
      </c>
      <c r="F105" s="109">
        <f>SUM(F106,F112)+F110</f>
        <v>7867019</v>
      </c>
      <c r="G105" s="109">
        <f>SUM(G106,G112)+G110</f>
        <v>3623296.5599999996</v>
      </c>
      <c r="H105" s="110">
        <f>G105/E105*100</f>
        <v>54.419448169766326</v>
      </c>
      <c r="I105" s="110">
        <f>G105/F105*100</f>
        <v>46.056791778436015</v>
      </c>
      <c r="J105" s="21"/>
    </row>
    <row r="106" spans="1:10" s="25" customFormat="1">
      <c r="A106" s="60"/>
      <c r="B106" s="111">
        <v>311</v>
      </c>
      <c r="C106" s="112"/>
      <c r="D106" s="113" t="s">
        <v>121</v>
      </c>
      <c r="E106" s="79">
        <f>SUM(E107)+E108+E109</f>
        <v>5444179.6443028739</v>
      </c>
      <c r="F106" s="79">
        <f t="shared" ref="F106:G106" si="49">SUM(F107)+F108+F109</f>
        <v>6485648</v>
      </c>
      <c r="G106" s="79">
        <f t="shared" si="49"/>
        <v>2984459.19</v>
      </c>
      <c r="H106" s="114"/>
      <c r="I106" s="114"/>
      <c r="J106" s="21"/>
    </row>
    <row r="107" spans="1:10" s="25" customFormat="1">
      <c r="A107" s="115"/>
      <c r="B107" s="116">
        <v>3111</v>
      </c>
      <c r="C107" s="112"/>
      <c r="D107" s="117" t="s">
        <v>122</v>
      </c>
      <c r="E107" s="114">
        <f>40905153.46/7.5345</f>
        <v>5429046.8458424583</v>
      </c>
      <c r="F107" s="79">
        <f>6365647+16256+91864</f>
        <v>6473767</v>
      </c>
      <c r="G107" s="114">
        <v>2976270.53</v>
      </c>
      <c r="H107" s="79"/>
      <c r="I107" s="79"/>
      <c r="J107" s="21"/>
    </row>
    <row r="108" spans="1:10" s="25" customFormat="1">
      <c r="A108" s="115"/>
      <c r="B108" s="116" t="s">
        <v>123</v>
      </c>
      <c r="C108" s="112"/>
      <c r="D108" s="117" t="s">
        <v>124</v>
      </c>
      <c r="E108" s="114">
        <f>7551.99/7.5345</f>
        <v>1002.3213219191717</v>
      </c>
      <c r="F108" s="114">
        <f>1238</f>
        <v>1238</v>
      </c>
      <c r="G108" s="114">
        <v>957.37</v>
      </c>
      <c r="H108" s="79"/>
      <c r="I108" s="79"/>
      <c r="J108" s="21"/>
    </row>
    <row r="109" spans="1:10" s="25" customFormat="1">
      <c r="A109" s="115"/>
      <c r="B109" s="116" t="s">
        <v>125</v>
      </c>
      <c r="C109" s="112"/>
      <c r="D109" s="117" t="s">
        <v>126</v>
      </c>
      <c r="E109" s="114">
        <f>106466.08/7.5345</f>
        <v>14130.47713849625</v>
      </c>
      <c r="F109" s="114">
        <v>10643</v>
      </c>
      <c r="G109" s="114">
        <v>7231.29</v>
      </c>
      <c r="H109" s="79"/>
      <c r="I109" s="79"/>
      <c r="J109" s="21"/>
    </row>
    <row r="110" spans="1:10" s="123" customFormat="1">
      <c r="A110" s="118"/>
      <c r="B110" s="119" t="s">
        <v>127</v>
      </c>
      <c r="C110" s="113"/>
      <c r="D110" s="120" t="s">
        <v>128</v>
      </c>
      <c r="E110" s="121">
        <f>E111</f>
        <v>329347.56121839536</v>
      </c>
      <c r="F110" s="121">
        <f>F111</f>
        <v>338652</v>
      </c>
      <c r="G110" s="121">
        <f>G111</f>
        <v>155188.10999999999</v>
      </c>
      <c r="H110" s="121"/>
      <c r="I110" s="121"/>
      <c r="J110" s="122"/>
    </row>
    <row r="111" spans="1:10" s="25" customFormat="1">
      <c r="A111" s="115"/>
      <c r="B111" s="116" t="s">
        <v>129</v>
      </c>
      <c r="C111" s="112"/>
      <c r="D111" s="117" t="s">
        <v>130</v>
      </c>
      <c r="E111" s="114">
        <f>2481469.2/7.5345</f>
        <v>329347.56121839536</v>
      </c>
      <c r="F111" s="114">
        <f>187799+150853</f>
        <v>338652</v>
      </c>
      <c r="G111" s="114">
        <v>155188.10999999999</v>
      </c>
      <c r="H111" s="79"/>
      <c r="I111" s="79"/>
      <c r="J111" s="21"/>
    </row>
    <row r="112" spans="1:10" s="25" customFormat="1">
      <c r="A112" s="60"/>
      <c r="B112" s="35">
        <v>313</v>
      </c>
      <c r="C112" s="124"/>
      <c r="D112" s="113" t="s">
        <v>131</v>
      </c>
      <c r="E112" s="125">
        <f>SUM(E113:E114)</f>
        <v>884564.12369765737</v>
      </c>
      <c r="F112" s="125">
        <f>SUM(F113:F114)</f>
        <v>1042719</v>
      </c>
      <c r="G112" s="125">
        <f>SUM(G113:G114)</f>
        <v>483649.25999999995</v>
      </c>
      <c r="H112" s="114"/>
      <c r="I112" s="126"/>
      <c r="J112" s="21"/>
    </row>
    <row r="113" spans="1:10" s="25" customFormat="1">
      <c r="A113" s="115"/>
      <c r="B113" s="48">
        <v>3132</v>
      </c>
      <c r="C113" s="112"/>
      <c r="D113" s="117" t="s">
        <v>132</v>
      </c>
      <c r="E113" s="127">
        <f>6664181.2/7.5345</f>
        <v>884488.8446479527</v>
      </c>
      <c r="F113" s="128">
        <f>1033168+9551</f>
        <v>1042719</v>
      </c>
      <c r="G113" s="127">
        <v>483239.47</v>
      </c>
      <c r="H113" s="114"/>
      <c r="I113" s="126"/>
      <c r="J113" s="21"/>
    </row>
    <row r="114" spans="1:10" s="25" customFormat="1" ht="30">
      <c r="A114" s="115"/>
      <c r="B114" s="48">
        <v>3133</v>
      </c>
      <c r="C114" s="112"/>
      <c r="D114" s="129" t="s">
        <v>133</v>
      </c>
      <c r="E114" s="127">
        <f>567.19/7.5345</f>
        <v>75.279049704691758</v>
      </c>
      <c r="F114" s="127">
        <v>0</v>
      </c>
      <c r="G114" s="127">
        <v>409.79</v>
      </c>
      <c r="H114" s="114"/>
      <c r="I114" s="114"/>
      <c r="J114" s="21"/>
    </row>
    <row r="115" spans="1:10" s="25" customFormat="1">
      <c r="A115" s="60"/>
      <c r="B115" s="106">
        <v>32</v>
      </c>
      <c r="C115" s="107"/>
      <c r="D115" s="108" t="s">
        <v>134</v>
      </c>
      <c r="E115" s="109">
        <f>SUM(E116)+E120+E126+E136+E138</f>
        <v>1385276.815979826</v>
      </c>
      <c r="F115" s="109">
        <f>SUM(F116)+F120+F126+F136+F138</f>
        <v>1586861</v>
      </c>
      <c r="G115" s="109">
        <f t="shared" ref="G115" si="50">SUM(G116)+G120+G126+G136+G138</f>
        <v>657744.89999999991</v>
      </c>
      <c r="H115" s="110">
        <f>G115/E115*100</f>
        <v>47.481116583530458</v>
      </c>
      <c r="I115" s="110">
        <f>G115/F115*100</f>
        <v>41.449433819345231</v>
      </c>
      <c r="J115" s="21"/>
    </row>
    <row r="116" spans="1:10" s="25" customFormat="1">
      <c r="A116" s="60"/>
      <c r="B116" s="111">
        <v>321</v>
      </c>
      <c r="C116" s="124"/>
      <c r="D116" s="113" t="s">
        <v>135</v>
      </c>
      <c r="E116" s="79">
        <f>SUM(E117:E119)</f>
        <v>242717.51144734223</v>
      </c>
      <c r="F116" s="79">
        <f t="shared" ref="F116" si="51">SUM(F117:F119)</f>
        <v>245760</v>
      </c>
      <c r="G116" s="79">
        <f>SUM(G117:G119)</f>
        <v>125688.00999999998</v>
      </c>
      <c r="H116" s="114"/>
      <c r="I116" s="114"/>
      <c r="J116" s="21"/>
    </row>
    <row r="117" spans="1:10" s="25" customFormat="1">
      <c r="A117" s="115"/>
      <c r="B117" s="116" t="s">
        <v>136</v>
      </c>
      <c r="C117" s="112"/>
      <c r="D117" s="117" t="s">
        <v>137</v>
      </c>
      <c r="E117" s="114">
        <f>661359/7.5345</f>
        <v>87777.423850288673</v>
      </c>
      <c r="F117" s="114">
        <f>66747</f>
        <v>66747</v>
      </c>
      <c r="G117" s="114">
        <v>38189.879999999997</v>
      </c>
      <c r="H117" s="114"/>
      <c r="I117" s="114"/>
      <c r="J117" s="21"/>
    </row>
    <row r="118" spans="1:10" s="25" customFormat="1" ht="30">
      <c r="A118" s="115"/>
      <c r="B118" s="116" t="s">
        <v>138</v>
      </c>
      <c r="C118" s="112"/>
      <c r="D118" s="129" t="s">
        <v>139</v>
      </c>
      <c r="E118" s="114">
        <f>1054392.09/7.5345</f>
        <v>139941.87935496715</v>
      </c>
      <c r="F118" s="114">
        <v>168450</v>
      </c>
      <c r="G118" s="114">
        <v>81727.23</v>
      </c>
      <c r="H118" s="130"/>
      <c r="I118" s="131"/>
      <c r="J118" s="21"/>
    </row>
    <row r="119" spans="1:10" s="25" customFormat="1">
      <c r="A119" s="115"/>
      <c r="B119" s="116" t="s">
        <v>140</v>
      </c>
      <c r="C119" s="112"/>
      <c r="D119" s="129" t="s">
        <v>141</v>
      </c>
      <c r="E119" s="114">
        <f>113004/7.5345</f>
        <v>14998.208242086403</v>
      </c>
      <c r="F119" s="114">
        <f>10563</f>
        <v>10563</v>
      </c>
      <c r="G119" s="114">
        <v>5770.9</v>
      </c>
      <c r="H119" s="130"/>
      <c r="I119" s="131"/>
      <c r="J119" s="21"/>
    </row>
    <row r="120" spans="1:10" s="25" customFormat="1">
      <c r="A120" s="115"/>
      <c r="B120" s="119" t="s">
        <v>142</v>
      </c>
      <c r="C120" s="113"/>
      <c r="D120" s="120" t="s">
        <v>143</v>
      </c>
      <c r="E120" s="121">
        <f>E121+E122+E124+E125+E123</f>
        <v>324158.89043732162</v>
      </c>
      <c r="F120" s="121">
        <f>F121+F122+F124+F125+F123</f>
        <v>493628</v>
      </c>
      <c r="G120" s="121">
        <f>G121+G122+G124+G125+G123</f>
        <v>118719.74</v>
      </c>
      <c r="H120" s="130"/>
      <c r="I120" s="131"/>
      <c r="J120" s="21"/>
    </row>
    <row r="121" spans="1:10" s="25" customFormat="1" ht="30">
      <c r="A121" s="115"/>
      <c r="B121" s="116" t="s">
        <v>144</v>
      </c>
      <c r="C121" s="112"/>
      <c r="D121" s="132" t="s">
        <v>145</v>
      </c>
      <c r="E121" s="114">
        <f>538830.62/7.5345</f>
        <v>71515.11314619417</v>
      </c>
      <c r="F121" s="114">
        <f>87519</f>
        <v>87519</v>
      </c>
      <c r="G121" s="114">
        <v>34714.36</v>
      </c>
      <c r="H121" s="130"/>
      <c r="I121" s="131"/>
      <c r="J121" s="21"/>
    </row>
    <row r="122" spans="1:10" s="25" customFormat="1">
      <c r="A122" s="115"/>
      <c r="B122" s="116" t="s">
        <v>146</v>
      </c>
      <c r="C122" s="112"/>
      <c r="D122" s="132" t="s">
        <v>147</v>
      </c>
      <c r="E122" s="114">
        <f>1765344.28/7.5345</f>
        <v>234301.45066029596</v>
      </c>
      <c r="F122" s="128">
        <v>376082</v>
      </c>
      <c r="G122" s="133">
        <f>83706.57-1491</f>
        <v>82215.570000000007</v>
      </c>
      <c r="H122" s="130"/>
      <c r="I122" s="131"/>
      <c r="J122" s="21"/>
    </row>
    <row r="123" spans="1:10" s="25" customFormat="1" ht="30">
      <c r="A123" s="115"/>
      <c r="B123" s="116" t="s">
        <v>148</v>
      </c>
      <c r="C123" s="112"/>
      <c r="D123" s="132" t="s">
        <v>149</v>
      </c>
      <c r="E123" s="114">
        <f>79675.37/7.5345</f>
        <v>10574.738867874443</v>
      </c>
      <c r="F123" s="128">
        <v>7455</v>
      </c>
      <c r="G123" s="133">
        <v>703.63</v>
      </c>
      <c r="H123" s="130"/>
      <c r="I123" s="131"/>
      <c r="J123" s="21"/>
    </row>
    <row r="124" spans="1:10" s="25" customFormat="1">
      <c r="A124" s="115"/>
      <c r="B124" s="116" t="s">
        <v>150</v>
      </c>
      <c r="C124" s="112"/>
      <c r="D124" s="132" t="s">
        <v>151</v>
      </c>
      <c r="E124" s="114">
        <f>52761.41/7.5345</f>
        <v>7002.6425111155349</v>
      </c>
      <c r="F124" s="128">
        <v>13132</v>
      </c>
      <c r="G124" s="133">
        <v>1086.18</v>
      </c>
      <c r="H124" s="130"/>
      <c r="I124" s="131"/>
      <c r="J124" s="21"/>
    </row>
    <row r="125" spans="1:10" s="25" customFormat="1">
      <c r="A125" s="115"/>
      <c r="B125" s="116" t="s">
        <v>152</v>
      </c>
      <c r="C125" s="112"/>
      <c r="D125" s="132" t="s">
        <v>153</v>
      </c>
      <c r="E125" s="114">
        <f>5763.48/7.5345</f>
        <v>764.94525184152883</v>
      </c>
      <c r="F125" s="128">
        <v>9440</v>
      </c>
      <c r="G125" s="133"/>
      <c r="H125" s="130"/>
      <c r="I125" s="131"/>
      <c r="J125" s="21"/>
    </row>
    <row r="126" spans="1:10" s="25" customFormat="1">
      <c r="A126" s="115"/>
      <c r="B126" s="119" t="s">
        <v>154</v>
      </c>
      <c r="C126" s="113"/>
      <c r="D126" s="120" t="s">
        <v>155</v>
      </c>
      <c r="E126" s="121">
        <f>SUM(E127:E135)</f>
        <v>703205.86369367572</v>
      </c>
      <c r="F126" s="121">
        <f>SUM(F127:F135)</f>
        <v>740199</v>
      </c>
      <c r="G126" s="134">
        <f>SUM(G127:G135)</f>
        <v>327044.59999999998</v>
      </c>
      <c r="H126" s="130"/>
      <c r="I126" s="131"/>
      <c r="J126" s="21"/>
    </row>
    <row r="127" spans="1:10" s="25" customFormat="1">
      <c r="A127" s="115"/>
      <c r="B127" s="116" t="s">
        <v>156</v>
      </c>
      <c r="C127" s="112"/>
      <c r="D127" s="132" t="s">
        <v>157</v>
      </c>
      <c r="E127" s="114">
        <f>328110.29/7.5345</f>
        <v>43547.719158537388</v>
      </c>
      <c r="F127" s="128">
        <v>42054</v>
      </c>
      <c r="G127" s="133">
        <v>23686.39</v>
      </c>
      <c r="H127" s="130"/>
      <c r="I127" s="131"/>
      <c r="J127" s="21"/>
    </row>
    <row r="128" spans="1:10" s="25" customFormat="1">
      <c r="A128" s="115"/>
      <c r="B128" s="116" t="s">
        <v>158</v>
      </c>
      <c r="C128" s="112"/>
      <c r="D128" s="132" t="s">
        <v>159</v>
      </c>
      <c r="E128" s="114">
        <f>912558.27/7.5345</f>
        <v>121117.29643639259</v>
      </c>
      <c r="F128" s="114">
        <v>67608</v>
      </c>
      <c r="G128" s="133">
        <v>78527.41</v>
      </c>
      <c r="H128" s="130"/>
      <c r="I128" s="131"/>
      <c r="J128" s="21"/>
    </row>
    <row r="129" spans="1:10" s="25" customFormat="1">
      <c r="A129" s="115"/>
      <c r="B129" s="116" t="s">
        <v>160</v>
      </c>
      <c r="C129" s="112"/>
      <c r="D129" s="132" t="s">
        <v>161</v>
      </c>
      <c r="E129" s="114">
        <f>264655.86/7.5345</f>
        <v>35125.869002588093</v>
      </c>
      <c r="F129" s="114">
        <v>30817</v>
      </c>
      <c r="G129" s="133">
        <v>17082.490000000002</v>
      </c>
      <c r="H129" s="130"/>
      <c r="I129" s="131"/>
      <c r="J129" s="21"/>
    </row>
    <row r="130" spans="1:10" s="25" customFormat="1">
      <c r="A130" s="115"/>
      <c r="B130" s="116" t="s">
        <v>162</v>
      </c>
      <c r="C130" s="112"/>
      <c r="D130" s="132" t="s">
        <v>163</v>
      </c>
      <c r="E130" s="114">
        <f>231046.07/7.5345</f>
        <v>30665.083283562279</v>
      </c>
      <c r="F130" s="114">
        <v>29828</v>
      </c>
      <c r="G130" s="133">
        <v>15618.22</v>
      </c>
      <c r="H130" s="130"/>
      <c r="I130" s="131"/>
      <c r="J130" s="21"/>
    </row>
    <row r="131" spans="1:10" s="25" customFormat="1">
      <c r="A131" s="115"/>
      <c r="B131" s="116" t="s">
        <v>164</v>
      </c>
      <c r="C131" s="112"/>
      <c r="D131" s="132" t="s">
        <v>165</v>
      </c>
      <c r="E131" s="114">
        <f>423956.38/7.5345</f>
        <v>56268.681398898399</v>
      </c>
      <c r="F131" s="114">
        <v>33530</v>
      </c>
      <c r="G131" s="133">
        <v>18038.060000000001</v>
      </c>
      <c r="H131" s="130"/>
      <c r="I131" s="131"/>
      <c r="J131" s="21"/>
    </row>
    <row r="132" spans="1:10" s="25" customFormat="1">
      <c r="A132" s="115"/>
      <c r="B132" s="116" t="s">
        <v>166</v>
      </c>
      <c r="C132" s="112"/>
      <c r="D132" s="132" t="s">
        <v>167</v>
      </c>
      <c r="E132" s="114">
        <f>21435/7.5345</f>
        <v>2844.9133983675092</v>
      </c>
      <c r="F132" s="114">
        <f>8141+21374</f>
        <v>29515</v>
      </c>
      <c r="G132" s="133">
        <v>9.8699999999999992</v>
      </c>
      <c r="H132" s="130"/>
      <c r="I132" s="131"/>
      <c r="J132" s="21"/>
    </row>
    <row r="133" spans="1:10" s="25" customFormat="1">
      <c r="A133" s="115"/>
      <c r="B133" s="116" t="s">
        <v>168</v>
      </c>
      <c r="C133" s="112"/>
      <c r="D133" s="132" t="s">
        <v>169</v>
      </c>
      <c r="E133" s="114">
        <f>1501605/7.5345</f>
        <v>199297.23272944454</v>
      </c>
      <c r="F133" s="114">
        <f>194391+150750+12664</f>
        <v>357805</v>
      </c>
      <c r="G133" s="133">
        <v>82830.69</v>
      </c>
      <c r="H133" s="130"/>
      <c r="I133" s="131"/>
      <c r="J133" s="21"/>
    </row>
    <row r="134" spans="1:10" s="25" customFormat="1">
      <c r="A134" s="115"/>
      <c r="B134" s="116" t="s">
        <v>170</v>
      </c>
      <c r="C134" s="112"/>
      <c r="D134" s="132" t="s">
        <v>171</v>
      </c>
      <c r="E134" s="114">
        <f>73209.02/7.5345</f>
        <v>9716.5067356825275</v>
      </c>
      <c r="F134" s="114">
        <v>19339</v>
      </c>
      <c r="G134" s="133">
        <v>4189.63</v>
      </c>
      <c r="H134" s="130"/>
      <c r="I134" s="131"/>
      <c r="J134" s="21"/>
    </row>
    <row r="135" spans="1:10" s="25" customFormat="1">
      <c r="A135" s="115"/>
      <c r="B135" s="116" t="s">
        <v>172</v>
      </c>
      <c r="C135" s="112"/>
      <c r="D135" s="132" t="s">
        <v>173</v>
      </c>
      <c r="E135" s="114">
        <f>1541728.69/7.5345</f>
        <v>204622.56155020237</v>
      </c>
      <c r="F135" s="114">
        <v>129703</v>
      </c>
      <c r="G135" s="133">
        <v>87061.84</v>
      </c>
      <c r="H135" s="130"/>
      <c r="I135" s="131"/>
      <c r="J135" s="21"/>
    </row>
    <row r="136" spans="1:10" s="25" customFormat="1" ht="30">
      <c r="A136" s="115"/>
      <c r="B136" s="119" t="s">
        <v>174</v>
      </c>
      <c r="C136" s="112"/>
      <c r="D136" s="120" t="s">
        <v>175</v>
      </c>
      <c r="E136" s="121">
        <f>E137</f>
        <v>21159.710664277656</v>
      </c>
      <c r="F136" s="121">
        <f t="shared" ref="F136:G136" si="52">F137</f>
        <v>8317</v>
      </c>
      <c r="G136" s="134">
        <f t="shared" si="52"/>
        <v>9440.58</v>
      </c>
      <c r="H136" s="130"/>
      <c r="I136" s="131"/>
      <c r="J136" s="21"/>
    </row>
    <row r="137" spans="1:10" s="25" customFormat="1">
      <c r="A137" s="115"/>
      <c r="B137" s="116" t="s">
        <v>176</v>
      </c>
      <c r="C137" s="112"/>
      <c r="D137" s="129" t="s">
        <v>177</v>
      </c>
      <c r="E137" s="114">
        <f>159427.84/7.5345</f>
        <v>21159.710664277656</v>
      </c>
      <c r="F137" s="114">
        <v>8317</v>
      </c>
      <c r="G137" s="133">
        <v>9440.58</v>
      </c>
      <c r="H137" s="130"/>
      <c r="I137" s="131"/>
      <c r="J137" s="21"/>
    </row>
    <row r="138" spans="1:10" s="25" customFormat="1">
      <c r="A138" s="115"/>
      <c r="B138" s="119" t="s">
        <v>178</v>
      </c>
      <c r="C138" s="112"/>
      <c r="D138" s="120" t="s">
        <v>179</v>
      </c>
      <c r="E138" s="121">
        <f>SUM(E139:E144)</f>
        <v>94034.839737208837</v>
      </c>
      <c r="F138" s="121">
        <f>SUM(F139:F144)</f>
        <v>98957</v>
      </c>
      <c r="G138" s="134">
        <f>SUM(G139:G144)</f>
        <v>76851.97</v>
      </c>
      <c r="H138" s="130"/>
      <c r="I138" s="131"/>
      <c r="J138" s="21"/>
    </row>
    <row r="139" spans="1:10" s="25" customFormat="1">
      <c r="A139" s="115"/>
      <c r="B139" s="116" t="s">
        <v>180</v>
      </c>
      <c r="C139" s="112"/>
      <c r="D139" s="129" t="s">
        <v>181</v>
      </c>
      <c r="E139" s="114">
        <f>18224.85/7.5345</f>
        <v>2418.8532749352971</v>
      </c>
      <c r="F139" s="114">
        <v>2191</v>
      </c>
      <c r="G139" s="133">
        <v>937.42</v>
      </c>
      <c r="H139" s="130"/>
      <c r="I139" s="131"/>
      <c r="J139" s="21"/>
    </row>
    <row r="140" spans="1:10" s="25" customFormat="1">
      <c r="A140" s="115"/>
      <c r="B140" s="116" t="s">
        <v>182</v>
      </c>
      <c r="C140" s="112"/>
      <c r="D140" s="129" t="s">
        <v>183</v>
      </c>
      <c r="E140" s="114">
        <f>447279.12/7.5345</f>
        <v>59364.140951622532</v>
      </c>
      <c r="F140" s="114">
        <v>61200</v>
      </c>
      <c r="G140" s="133">
        <f>43745.51-15000</f>
        <v>28745.510000000002</v>
      </c>
      <c r="H140" s="130"/>
      <c r="I140" s="131"/>
      <c r="J140" s="21"/>
    </row>
    <row r="141" spans="1:10" s="25" customFormat="1">
      <c r="A141" s="115"/>
      <c r="B141" s="116" t="s">
        <v>184</v>
      </c>
      <c r="C141" s="112"/>
      <c r="D141" s="129" t="s">
        <v>185</v>
      </c>
      <c r="E141" s="114">
        <f>54686.53/7.5345</f>
        <v>7258.1498440506994</v>
      </c>
      <c r="F141" s="114">
        <v>9216</v>
      </c>
      <c r="G141" s="114">
        <v>5887.11</v>
      </c>
      <c r="H141" s="130"/>
      <c r="I141" s="131"/>
      <c r="J141" s="21"/>
    </row>
    <row r="142" spans="1:10" s="25" customFormat="1">
      <c r="A142" s="115"/>
      <c r="B142" s="116" t="s">
        <v>186</v>
      </c>
      <c r="C142" s="112"/>
      <c r="D142" s="129" t="s">
        <v>187</v>
      </c>
      <c r="E142" s="114">
        <f>58232.04/7.5345</f>
        <v>7728.719888512841</v>
      </c>
      <c r="F142" s="114">
        <f>7674+931</f>
        <v>8605</v>
      </c>
      <c r="G142" s="114">
        <v>7418.15</v>
      </c>
      <c r="H142" s="130"/>
      <c r="I142" s="131"/>
      <c r="J142" s="21"/>
    </row>
    <row r="143" spans="1:10" s="25" customFormat="1">
      <c r="A143" s="115"/>
      <c r="B143" s="116" t="s">
        <v>188</v>
      </c>
      <c r="C143" s="112"/>
      <c r="D143" s="135" t="s">
        <v>189</v>
      </c>
      <c r="E143" s="114"/>
      <c r="F143" s="114"/>
      <c r="G143" s="114">
        <v>10157.42</v>
      </c>
      <c r="H143" s="130"/>
      <c r="I143" s="131"/>
      <c r="J143" s="21"/>
    </row>
    <row r="144" spans="1:10" s="30" customFormat="1">
      <c r="A144" s="115"/>
      <c r="B144" s="116" t="s">
        <v>190</v>
      </c>
      <c r="C144" s="112"/>
      <c r="D144" s="129" t="s">
        <v>191</v>
      </c>
      <c r="E144" s="114">
        <f>130082.96/7.5345</f>
        <v>17264.975778087464</v>
      </c>
      <c r="F144" s="114">
        <f>17745</f>
        <v>17745</v>
      </c>
      <c r="G144" s="114">
        <v>23706.36</v>
      </c>
      <c r="H144" s="130"/>
      <c r="I144" s="131"/>
      <c r="J144" s="29"/>
    </row>
    <row r="145" spans="1:10" s="30" customFormat="1">
      <c r="A145" s="60"/>
      <c r="B145" s="106" t="s">
        <v>192</v>
      </c>
      <c r="C145" s="107"/>
      <c r="D145" s="136" t="s">
        <v>193</v>
      </c>
      <c r="E145" s="109">
        <f>E146</f>
        <v>22342.659765080629</v>
      </c>
      <c r="F145" s="109">
        <f>F146</f>
        <v>13500</v>
      </c>
      <c r="G145" s="109">
        <f>G146</f>
        <v>20738.91</v>
      </c>
      <c r="H145" s="110">
        <f>G145/E145*100</f>
        <v>92.822028433753744</v>
      </c>
      <c r="I145" s="110">
        <f>G145/F145*100</f>
        <v>153.62155555555555</v>
      </c>
      <c r="J145" s="29"/>
    </row>
    <row r="146" spans="1:10" s="30" customFormat="1">
      <c r="A146" s="115"/>
      <c r="B146" s="119" t="s">
        <v>194</v>
      </c>
      <c r="C146" s="112"/>
      <c r="D146" s="129" t="s">
        <v>195</v>
      </c>
      <c r="E146" s="121">
        <f>SUM(E147:E150)</f>
        <v>22342.659765080629</v>
      </c>
      <c r="F146" s="121">
        <f>SUM(F147:F150)</f>
        <v>13500</v>
      </c>
      <c r="G146" s="121">
        <f>SUM(G147:G150)</f>
        <v>20738.91</v>
      </c>
      <c r="H146" s="130"/>
      <c r="I146" s="131"/>
      <c r="J146" s="29"/>
    </row>
    <row r="147" spans="1:10" s="30" customFormat="1">
      <c r="A147" s="115"/>
      <c r="B147" s="116" t="s">
        <v>196</v>
      </c>
      <c r="C147" s="112"/>
      <c r="D147" s="129" t="s">
        <v>197</v>
      </c>
      <c r="E147" s="137">
        <f>151486.27/7.5345</f>
        <v>20105.683190656313</v>
      </c>
      <c r="F147" s="114">
        <v>12042</v>
      </c>
      <c r="G147" s="114">
        <v>10201.42</v>
      </c>
      <c r="H147" s="130"/>
      <c r="I147" s="131"/>
      <c r="J147" s="29"/>
    </row>
    <row r="148" spans="1:10" s="30" customFormat="1" ht="30">
      <c r="A148" s="115"/>
      <c r="B148" s="116" t="s">
        <v>198</v>
      </c>
      <c r="C148" s="112"/>
      <c r="D148" s="129" t="s">
        <v>199</v>
      </c>
      <c r="E148" s="114">
        <f>1031.01/7.5345</f>
        <v>136.8385427035636</v>
      </c>
      <c r="F148" s="114">
        <v>116</v>
      </c>
      <c r="G148" s="114">
        <v>3.8</v>
      </c>
      <c r="H148" s="130"/>
      <c r="I148" s="131"/>
      <c r="J148" s="29"/>
    </row>
    <row r="149" spans="1:10" s="30" customFormat="1">
      <c r="A149" s="115"/>
      <c r="B149" s="116" t="s">
        <v>200</v>
      </c>
      <c r="C149" s="112"/>
      <c r="D149" s="129" t="s">
        <v>201</v>
      </c>
      <c r="E149" s="114">
        <f>15813.48/7.5345</f>
        <v>2098.8094764085208</v>
      </c>
      <c r="F149" s="114">
        <v>1321</v>
      </c>
      <c r="G149" s="114">
        <v>10533.69</v>
      </c>
      <c r="H149" s="130"/>
      <c r="I149" s="131"/>
      <c r="J149" s="29"/>
    </row>
    <row r="150" spans="1:10" s="30" customFormat="1">
      <c r="A150" s="115"/>
      <c r="B150" s="116" t="s">
        <v>202</v>
      </c>
      <c r="C150" s="112"/>
      <c r="D150" s="129" t="s">
        <v>203</v>
      </c>
      <c r="E150" s="114">
        <f>10.01/7.5345</f>
        <v>1.3285553122304068</v>
      </c>
      <c r="F150" s="114">
        <v>21</v>
      </c>
      <c r="G150" s="114"/>
      <c r="H150" s="130"/>
      <c r="I150" s="131"/>
      <c r="J150" s="29"/>
    </row>
    <row r="151" spans="1:10" s="30" customFormat="1">
      <c r="A151" s="60"/>
      <c r="B151" s="106" t="s">
        <v>204</v>
      </c>
      <c r="C151" s="107"/>
      <c r="D151" s="108" t="s">
        <v>205</v>
      </c>
      <c r="E151" s="109">
        <f t="shared" ref="E151:G152" si="53">E152</f>
        <v>325971.69022496516</v>
      </c>
      <c r="F151" s="109">
        <f t="shared" si="53"/>
        <v>0</v>
      </c>
      <c r="G151" s="109">
        <f t="shared" si="53"/>
        <v>869674.84</v>
      </c>
      <c r="H151" s="110">
        <f>G151/E151*100</f>
        <v>266.79459170206013</v>
      </c>
      <c r="I151" s="110" t="e">
        <f>G151/F151*100</f>
        <v>#DIV/0!</v>
      </c>
      <c r="J151" s="29"/>
    </row>
    <row r="152" spans="1:10" s="30" customFormat="1" ht="30">
      <c r="A152" s="115"/>
      <c r="B152" s="119" t="s">
        <v>206</v>
      </c>
      <c r="C152" s="112"/>
      <c r="D152" s="129" t="s">
        <v>57</v>
      </c>
      <c r="E152" s="121">
        <f t="shared" si="53"/>
        <v>325971.69022496516</v>
      </c>
      <c r="F152" s="121">
        <f t="shared" si="53"/>
        <v>0</v>
      </c>
      <c r="G152" s="121">
        <f t="shared" si="53"/>
        <v>869674.84</v>
      </c>
      <c r="H152" s="130"/>
      <c r="I152" s="131"/>
      <c r="J152" s="29"/>
    </row>
    <row r="153" spans="1:10" s="25" customFormat="1" ht="30">
      <c r="A153" s="115"/>
      <c r="B153" s="116" t="s">
        <v>207</v>
      </c>
      <c r="C153" s="112"/>
      <c r="D153" s="129" t="s">
        <v>208</v>
      </c>
      <c r="E153" s="114">
        <f>2456033.7/7.5345</f>
        <v>325971.69022496516</v>
      </c>
      <c r="F153" s="114"/>
      <c r="G153" s="114">
        <v>869674.84</v>
      </c>
      <c r="H153" s="130"/>
      <c r="I153" s="131"/>
      <c r="J153" s="21"/>
    </row>
    <row r="154" spans="1:10" s="25" customFormat="1">
      <c r="A154" s="60"/>
      <c r="B154" s="106" t="s">
        <v>209</v>
      </c>
      <c r="C154" s="107"/>
      <c r="D154" s="108" t="s">
        <v>210</v>
      </c>
      <c r="E154" s="109">
        <f t="shared" ref="E154:G155" si="54">E155</f>
        <v>124842.85619483708</v>
      </c>
      <c r="F154" s="109">
        <f t="shared" si="54"/>
        <v>112591</v>
      </c>
      <c r="G154" s="109">
        <f t="shared" si="54"/>
        <v>85983.6</v>
      </c>
      <c r="H154" s="110">
        <f>G154/E154*100</f>
        <v>68.873464306046444</v>
      </c>
      <c r="I154" s="110">
        <f>G154/F154*100</f>
        <v>76.368093364478511</v>
      </c>
      <c r="J154" s="21"/>
    </row>
    <row r="155" spans="1:10" s="25" customFormat="1" ht="30">
      <c r="A155" s="115"/>
      <c r="B155" s="119" t="s">
        <v>211</v>
      </c>
      <c r="C155" s="112"/>
      <c r="D155" s="129" t="s">
        <v>212</v>
      </c>
      <c r="E155" s="121">
        <f t="shared" si="54"/>
        <v>124842.85619483708</v>
      </c>
      <c r="F155" s="121">
        <f t="shared" si="54"/>
        <v>112591</v>
      </c>
      <c r="G155" s="121">
        <f t="shared" si="54"/>
        <v>85983.6</v>
      </c>
      <c r="H155" s="130"/>
      <c r="I155" s="131"/>
      <c r="J155" s="21"/>
    </row>
    <row r="156" spans="1:10" s="30" customFormat="1">
      <c r="A156" s="115"/>
      <c r="B156" s="116" t="s">
        <v>213</v>
      </c>
      <c r="C156" s="112"/>
      <c r="D156" s="129" t="s">
        <v>214</v>
      </c>
      <c r="E156" s="114">
        <f>940628.5/7.5345</f>
        <v>124842.85619483708</v>
      </c>
      <c r="F156" s="114">
        <v>112591</v>
      </c>
      <c r="G156" s="114">
        <v>85983.6</v>
      </c>
      <c r="H156" s="130"/>
      <c r="I156" s="131"/>
      <c r="J156" s="29"/>
    </row>
    <row r="157" spans="1:10" s="30" customFormat="1">
      <c r="A157" s="115"/>
      <c r="B157" s="106" t="s">
        <v>215</v>
      </c>
      <c r="C157" s="107"/>
      <c r="D157" s="108" t="s">
        <v>191</v>
      </c>
      <c r="E157" s="109">
        <f t="shared" ref="E157:G158" si="55">E158</f>
        <v>0</v>
      </c>
      <c r="F157" s="109">
        <f t="shared" si="55"/>
        <v>94001</v>
      </c>
      <c r="G157" s="109">
        <f t="shared" si="55"/>
        <v>0</v>
      </c>
      <c r="H157" s="110" t="e">
        <f>G157/E157*100</f>
        <v>#DIV/0!</v>
      </c>
      <c r="I157" s="110">
        <f>G157/F157*100</f>
        <v>0</v>
      </c>
      <c r="J157" s="29"/>
    </row>
    <row r="158" spans="1:10" s="30" customFormat="1">
      <c r="A158" s="115"/>
      <c r="B158" s="116" t="s">
        <v>216</v>
      </c>
      <c r="C158" s="112"/>
      <c r="D158" s="129" t="s">
        <v>87</v>
      </c>
      <c r="E158" s="114">
        <f t="shared" si="55"/>
        <v>0</v>
      </c>
      <c r="F158" s="114">
        <f t="shared" si="55"/>
        <v>94001</v>
      </c>
      <c r="G158" s="114">
        <f t="shared" si="55"/>
        <v>0</v>
      </c>
      <c r="H158" s="130"/>
      <c r="I158" s="131"/>
      <c r="J158" s="29"/>
    </row>
    <row r="159" spans="1:10" s="30" customFormat="1">
      <c r="A159" s="115"/>
      <c r="B159" s="116" t="s">
        <v>217</v>
      </c>
      <c r="C159" s="112"/>
      <c r="D159" s="129" t="s">
        <v>218</v>
      </c>
      <c r="E159" s="114"/>
      <c r="F159" s="114">
        <v>94001</v>
      </c>
      <c r="G159" s="114"/>
      <c r="H159" s="130"/>
      <c r="I159" s="131"/>
      <c r="J159" s="29"/>
    </row>
    <row r="160" spans="1:10" s="144" customFormat="1">
      <c r="A160" s="138"/>
      <c r="B160" s="54"/>
      <c r="C160" s="139" t="s">
        <v>99</v>
      </c>
      <c r="D160" s="140" t="s">
        <v>219</v>
      </c>
      <c r="E160" s="141">
        <f>SUM(E105,E115)+E145+E151+E154+E157</f>
        <v>8516525.3513836358</v>
      </c>
      <c r="F160" s="141">
        <f>SUM(F105,F115)+F145+F151+F154+F157</f>
        <v>9673972</v>
      </c>
      <c r="G160" s="141">
        <f t="shared" ref="G160" si="56">SUM(G105,G115)+G145+G151+G154+G157</f>
        <v>5257438.8099999987</v>
      </c>
      <c r="H160" s="142">
        <f>G160/E160*100</f>
        <v>61.732204074820842</v>
      </c>
      <c r="I160" s="142">
        <f>G160/F160*100</f>
        <v>54.346227278722722</v>
      </c>
      <c r="J160" s="143"/>
    </row>
    <row r="161" spans="1:10" s="30" customFormat="1">
      <c r="A161" s="138"/>
      <c r="B161" s="145">
        <v>32</v>
      </c>
      <c r="C161" s="146"/>
      <c r="D161" s="147" t="s">
        <v>134</v>
      </c>
      <c r="E161" s="148">
        <f>E162+E166</f>
        <v>2672.3910013935892</v>
      </c>
      <c r="F161" s="148">
        <f>F162+F166</f>
        <v>25865</v>
      </c>
      <c r="G161" s="148">
        <f>G162+G166</f>
        <v>0</v>
      </c>
      <c r="H161" s="79"/>
      <c r="I161" s="79"/>
      <c r="J161" s="29"/>
    </row>
    <row r="162" spans="1:10" s="30" customFormat="1">
      <c r="A162" s="138"/>
      <c r="B162" s="145">
        <v>323</v>
      </c>
      <c r="C162" s="146"/>
      <c r="D162" s="147" t="s">
        <v>155</v>
      </c>
      <c r="E162" s="148">
        <f>SUM(E163:E165)</f>
        <v>2670.9974119052358</v>
      </c>
      <c r="F162" s="148">
        <f>SUM(F163:F165)</f>
        <v>25865</v>
      </c>
      <c r="G162" s="148">
        <f>SUM(G163:G165)</f>
        <v>0</v>
      </c>
      <c r="H162" s="79"/>
      <c r="I162" s="79"/>
      <c r="J162" s="29"/>
    </row>
    <row r="163" spans="1:10" s="30" customFormat="1">
      <c r="A163" s="138"/>
      <c r="B163" s="149">
        <v>3233</v>
      </c>
      <c r="C163" s="146"/>
      <c r="D163" s="150" t="s">
        <v>161</v>
      </c>
      <c r="E163" s="73">
        <f>10573.68/7.5345</f>
        <v>1403.3685048775633</v>
      </c>
      <c r="F163" s="148"/>
      <c r="G163" s="148"/>
      <c r="H163" s="79"/>
      <c r="I163" s="79"/>
      <c r="J163" s="29"/>
    </row>
    <row r="164" spans="1:10" s="30" customFormat="1">
      <c r="A164" s="138"/>
      <c r="B164" s="149">
        <v>3237</v>
      </c>
      <c r="C164" s="41"/>
      <c r="D164" s="150" t="s">
        <v>169</v>
      </c>
      <c r="E164" s="73">
        <f>(4575+750)/7.5345</f>
        <v>706.74895480788371</v>
      </c>
      <c r="F164" s="73">
        <v>25865</v>
      </c>
      <c r="G164" s="148"/>
      <c r="H164" s="79"/>
      <c r="I164" s="79"/>
      <c r="J164" s="29"/>
    </row>
    <row r="165" spans="1:10" s="30" customFormat="1">
      <c r="A165" s="138"/>
      <c r="B165" s="149">
        <v>3239</v>
      </c>
      <c r="C165" s="41"/>
      <c r="D165" s="150" t="s">
        <v>173</v>
      </c>
      <c r="E165" s="73">
        <f>(1413.45+2812.5)/7.5345</f>
        <v>560.87995221978895</v>
      </c>
      <c r="F165" s="148"/>
      <c r="G165" s="148"/>
      <c r="H165" s="79"/>
      <c r="I165" s="79"/>
      <c r="J165" s="29"/>
    </row>
    <row r="166" spans="1:10" s="30" customFormat="1">
      <c r="A166" s="138"/>
      <c r="B166" s="145">
        <v>329</v>
      </c>
      <c r="C166" s="146"/>
      <c r="D166" s="147" t="s">
        <v>179</v>
      </c>
      <c r="E166" s="148">
        <f>E167</f>
        <v>1.3935894883535735</v>
      </c>
      <c r="F166" s="148">
        <f>F167</f>
        <v>0</v>
      </c>
      <c r="G166" s="148">
        <f>G167</f>
        <v>0</v>
      </c>
      <c r="H166" s="79"/>
      <c r="I166" s="79"/>
      <c r="J166" s="29"/>
    </row>
    <row r="167" spans="1:10" s="30" customFormat="1" ht="15.75" customHeight="1">
      <c r="A167" s="138"/>
      <c r="B167" s="149">
        <v>3295</v>
      </c>
      <c r="C167" s="41"/>
      <c r="D167" s="150" t="s">
        <v>220</v>
      </c>
      <c r="E167" s="73">
        <f>10.5/7.5345</f>
        <v>1.3935894883535735</v>
      </c>
      <c r="F167" s="148"/>
      <c r="G167" s="148"/>
      <c r="H167" s="79"/>
      <c r="I167" s="79"/>
      <c r="J167" s="29"/>
    </row>
    <row r="168" spans="1:10" s="59" customFormat="1" ht="15.75" customHeight="1">
      <c r="A168" s="138"/>
      <c r="B168" s="54"/>
      <c r="C168" s="139" t="s">
        <v>221</v>
      </c>
      <c r="D168" s="140" t="s">
        <v>102</v>
      </c>
      <c r="E168" s="141">
        <f>E161</f>
        <v>2672.3910013935892</v>
      </c>
      <c r="F168" s="141">
        <f t="shared" ref="F168:G168" si="57">F161</f>
        <v>25865</v>
      </c>
      <c r="G168" s="141">
        <f t="shared" si="57"/>
        <v>0</v>
      </c>
      <c r="H168" s="142">
        <f>G168/E168*100</f>
        <v>0</v>
      </c>
      <c r="I168" s="142">
        <f>G168/F168*100</f>
        <v>0</v>
      </c>
      <c r="J168" s="58"/>
    </row>
    <row r="169" spans="1:10" s="25" customFormat="1">
      <c r="A169" s="60"/>
      <c r="B169" s="106">
        <v>31</v>
      </c>
      <c r="C169" s="107"/>
      <c r="D169" s="108" t="s">
        <v>120</v>
      </c>
      <c r="E169" s="109">
        <f>E170+E172+E174</f>
        <v>173986.88300484436</v>
      </c>
      <c r="F169" s="109">
        <f>F170+F172+F174</f>
        <v>171982</v>
      </c>
      <c r="G169" s="109">
        <f>G170+G172+G174</f>
        <v>96231.08</v>
      </c>
      <c r="H169" s="110">
        <f>G169/E169*100</f>
        <v>55.309387890649553</v>
      </c>
      <c r="I169" s="110">
        <f>G169/F169*100</f>
        <v>55.954157993278365</v>
      </c>
      <c r="J169" s="21"/>
    </row>
    <row r="170" spans="1:10" s="67" customFormat="1">
      <c r="A170" s="60"/>
      <c r="B170" s="151" t="s">
        <v>222</v>
      </c>
      <c r="C170" s="60"/>
      <c r="D170" s="152" t="s">
        <v>121</v>
      </c>
      <c r="E170" s="153">
        <f>E171</f>
        <v>63930.283363195958</v>
      </c>
      <c r="F170" s="153">
        <f>F171</f>
        <v>88924</v>
      </c>
      <c r="G170" s="153">
        <f t="shared" ref="G170:H170" si="58">G171</f>
        <v>42699.46</v>
      </c>
      <c r="H170" s="153">
        <f t="shared" si="58"/>
        <v>0</v>
      </c>
      <c r="I170" s="154"/>
      <c r="J170" s="66"/>
    </row>
    <row r="171" spans="1:10" s="67" customFormat="1">
      <c r="A171" s="60"/>
      <c r="B171" s="155" t="s">
        <v>223</v>
      </c>
      <c r="C171" s="60"/>
      <c r="D171" s="152" t="s">
        <v>122</v>
      </c>
      <c r="E171" s="70">
        <f>481682.72/7.5345</f>
        <v>63930.283363195958</v>
      </c>
      <c r="F171" s="156">
        <v>88924</v>
      </c>
      <c r="G171" s="153">
        <v>42699.46</v>
      </c>
      <c r="H171" s="154"/>
      <c r="I171" s="154"/>
      <c r="J171" s="66"/>
    </row>
    <row r="172" spans="1:10" s="30" customFormat="1" ht="15.75" customHeight="1">
      <c r="A172" s="60"/>
      <c r="B172" s="111" t="s">
        <v>127</v>
      </c>
      <c r="C172" s="112"/>
      <c r="D172" s="113" t="s">
        <v>128</v>
      </c>
      <c r="E172" s="79">
        <f>SUM(E173)</f>
        <v>99508.096091313288</v>
      </c>
      <c r="F172" s="79">
        <f>SUM(F173)</f>
        <v>69016</v>
      </c>
      <c r="G172" s="79">
        <f>SUM(G173)</f>
        <v>46952.29</v>
      </c>
      <c r="H172" s="114">
        <f>SUM(G173/E173*100)</f>
        <v>47.184391867888195</v>
      </c>
      <c r="I172" s="114"/>
      <c r="J172" s="29"/>
    </row>
    <row r="173" spans="1:10" s="25" customFormat="1">
      <c r="A173" s="115"/>
      <c r="B173" s="116" t="s">
        <v>129</v>
      </c>
      <c r="C173" s="112"/>
      <c r="D173" s="113" t="s">
        <v>128</v>
      </c>
      <c r="E173" s="114">
        <f>749743.75/7.5345</f>
        <v>99508.096091313288</v>
      </c>
      <c r="F173" s="156">
        <v>69016</v>
      </c>
      <c r="G173" s="114">
        <v>46952.29</v>
      </c>
      <c r="H173" s="79">
        <f>SUM(G176/E176*100)</f>
        <v>105.64288151470753</v>
      </c>
      <c r="I173" s="79"/>
      <c r="J173" s="21"/>
    </row>
    <row r="174" spans="1:10" s="123" customFormat="1">
      <c r="A174" s="118"/>
      <c r="B174" s="119" t="s">
        <v>224</v>
      </c>
      <c r="C174" s="113"/>
      <c r="D174" s="113" t="s">
        <v>131</v>
      </c>
      <c r="E174" s="121">
        <f>E175</f>
        <v>10548.503550335125</v>
      </c>
      <c r="F174" s="121">
        <f>F175</f>
        <v>14042</v>
      </c>
      <c r="G174" s="121">
        <f t="shared" ref="G174:H174" si="59">G175</f>
        <v>6579.33</v>
      </c>
      <c r="H174" s="121">
        <f t="shared" si="59"/>
        <v>0</v>
      </c>
      <c r="I174" s="121"/>
      <c r="J174" s="122"/>
    </row>
    <row r="175" spans="1:10" s="25" customFormat="1">
      <c r="A175" s="115"/>
      <c r="B175" s="116" t="s">
        <v>225</v>
      </c>
      <c r="C175" s="112"/>
      <c r="D175" s="117" t="s">
        <v>132</v>
      </c>
      <c r="E175" s="114">
        <f>79477.7/7.5345</f>
        <v>10548.503550335125</v>
      </c>
      <c r="F175" s="156">
        <v>14042</v>
      </c>
      <c r="G175" s="114">
        <v>6579.33</v>
      </c>
      <c r="H175" s="79"/>
      <c r="I175" s="79"/>
      <c r="J175" s="21"/>
    </row>
    <row r="176" spans="1:10" s="25" customFormat="1" ht="15.75" customHeight="1">
      <c r="A176" s="60"/>
      <c r="B176" s="106" t="s">
        <v>226</v>
      </c>
      <c r="C176" s="107"/>
      <c r="D176" s="108" t="s">
        <v>134</v>
      </c>
      <c r="E176" s="109">
        <f>E177+E181+E187+E197+E199</f>
        <v>66282.459353639919</v>
      </c>
      <c r="F176" s="109">
        <f>F177+F181+F187+F197+F199</f>
        <v>50901</v>
      </c>
      <c r="G176" s="109">
        <f t="shared" ref="G176" si="60">G177+G181+G187+G197+G199</f>
        <v>70022.7</v>
      </c>
      <c r="H176" s="110">
        <f>G176/E176*100</f>
        <v>105.64288151470753</v>
      </c>
      <c r="I176" s="110">
        <f>G176/F176*100</f>
        <v>137.56645252549063</v>
      </c>
      <c r="J176" s="21"/>
    </row>
    <row r="177" spans="1:10" s="67" customFormat="1" ht="15.75" customHeight="1">
      <c r="A177" s="60"/>
      <c r="B177" s="151" t="s">
        <v>227</v>
      </c>
      <c r="C177" s="60"/>
      <c r="D177" s="152" t="s">
        <v>135</v>
      </c>
      <c r="E177" s="153">
        <f>E178+E179+E180</f>
        <v>33029.560023890102</v>
      </c>
      <c r="F177" s="153">
        <f>F178+F179+F180</f>
        <v>23252</v>
      </c>
      <c r="G177" s="153">
        <f>G178+G179+G180</f>
        <v>25337.37</v>
      </c>
      <c r="H177" s="154"/>
      <c r="I177" s="154"/>
      <c r="J177" s="66"/>
    </row>
    <row r="178" spans="1:10" s="67" customFormat="1" ht="15.75" customHeight="1">
      <c r="A178" s="60"/>
      <c r="B178" s="155" t="s">
        <v>136</v>
      </c>
      <c r="C178" s="60"/>
      <c r="D178" s="152" t="s">
        <v>137</v>
      </c>
      <c r="E178" s="70">
        <f>224772.77/7.5345</f>
        <v>29832.473289534802</v>
      </c>
      <c r="F178" s="70">
        <v>20581</v>
      </c>
      <c r="G178" s="153">
        <v>17903.37</v>
      </c>
      <c r="H178" s="154"/>
      <c r="I178" s="154"/>
      <c r="J178" s="66"/>
    </row>
    <row r="179" spans="1:10" s="67" customFormat="1" ht="15.75" customHeight="1">
      <c r="A179" s="60"/>
      <c r="B179" s="155" t="s">
        <v>138</v>
      </c>
      <c r="C179" s="60"/>
      <c r="D179" s="152" t="s">
        <v>139</v>
      </c>
      <c r="E179" s="70">
        <f>15849.07/7.5345</f>
        <v>2103.533081159997</v>
      </c>
      <c r="F179" s="70">
        <v>942</v>
      </c>
      <c r="G179" s="153">
        <v>920.81</v>
      </c>
      <c r="H179" s="154"/>
      <c r="I179" s="154"/>
      <c r="J179" s="66"/>
    </row>
    <row r="180" spans="1:10" s="67" customFormat="1" ht="15.75" customHeight="1">
      <c r="A180" s="60"/>
      <c r="B180" s="155" t="s">
        <v>140</v>
      </c>
      <c r="C180" s="60"/>
      <c r="D180" s="152" t="s">
        <v>228</v>
      </c>
      <c r="E180" s="70">
        <f>8239.38/7.5345</f>
        <v>1093.5536531953014</v>
      </c>
      <c r="F180" s="70">
        <v>1729</v>
      </c>
      <c r="G180" s="153">
        <v>6513.19</v>
      </c>
      <c r="H180" s="154"/>
      <c r="I180" s="154"/>
      <c r="J180" s="66"/>
    </row>
    <row r="181" spans="1:10" s="160" customFormat="1" ht="15.75" customHeight="1">
      <c r="A181" s="118"/>
      <c r="B181" s="157" t="s">
        <v>142</v>
      </c>
      <c r="C181" s="118"/>
      <c r="D181" s="152" t="s">
        <v>143</v>
      </c>
      <c r="E181" s="158">
        <f>SUM(E182:E186)</f>
        <v>7084.9744508593803</v>
      </c>
      <c r="F181" s="158">
        <f t="shared" ref="F181" si="61">SUM(F182:F186)</f>
        <v>9431</v>
      </c>
      <c r="G181" s="158">
        <f>SUM(G182:G186)</f>
        <v>3565.09</v>
      </c>
      <c r="H181" s="134"/>
      <c r="I181" s="134"/>
      <c r="J181" s="159"/>
    </row>
    <row r="182" spans="1:10" s="67" customFormat="1" ht="15.75" customHeight="1">
      <c r="A182" s="60"/>
      <c r="B182" s="155" t="s">
        <v>144</v>
      </c>
      <c r="C182" s="60"/>
      <c r="D182" s="152" t="s">
        <v>145</v>
      </c>
      <c r="E182" s="70">
        <f>23518.99/7.5345</f>
        <v>3121.5064038755058</v>
      </c>
      <c r="F182" s="156">
        <v>5609</v>
      </c>
      <c r="G182" s="70">
        <v>2025.06</v>
      </c>
      <c r="H182" s="154"/>
      <c r="I182" s="154"/>
      <c r="J182" s="66"/>
    </row>
    <row r="183" spans="1:10" s="67" customFormat="1" ht="15.75" customHeight="1">
      <c r="A183" s="60"/>
      <c r="B183" s="155" t="s">
        <v>146</v>
      </c>
      <c r="C183" s="60"/>
      <c r="D183" s="152" t="s">
        <v>147</v>
      </c>
      <c r="E183" s="70">
        <f>19980.41/7.5345</f>
        <v>2651.8561284756784</v>
      </c>
      <c r="F183" s="128">
        <v>2256</v>
      </c>
      <c r="G183" s="70">
        <v>934.28</v>
      </c>
      <c r="H183" s="154"/>
      <c r="I183" s="154"/>
      <c r="J183" s="66"/>
    </row>
    <row r="184" spans="1:10" s="67" customFormat="1" ht="15.75" customHeight="1">
      <c r="A184" s="60"/>
      <c r="B184" s="155" t="s">
        <v>148</v>
      </c>
      <c r="C184" s="60"/>
      <c r="D184" s="152" t="s">
        <v>149</v>
      </c>
      <c r="E184" s="70">
        <f>4912.54/7.5345</f>
        <v>652.00610524918704</v>
      </c>
      <c r="F184" s="128">
        <v>929</v>
      </c>
      <c r="G184" s="70">
        <v>161.79</v>
      </c>
      <c r="H184" s="154"/>
      <c r="I184" s="154"/>
      <c r="J184" s="66"/>
    </row>
    <row r="185" spans="1:10" s="67" customFormat="1" ht="15.75" customHeight="1">
      <c r="A185" s="60"/>
      <c r="B185" s="155" t="s">
        <v>150</v>
      </c>
      <c r="C185" s="60"/>
      <c r="D185" s="152" t="s">
        <v>151</v>
      </c>
      <c r="E185" s="70">
        <f>362.99/7.5345</f>
        <v>48.177052226425111</v>
      </c>
      <c r="F185" s="128">
        <v>106</v>
      </c>
      <c r="G185" s="70"/>
      <c r="H185" s="154"/>
      <c r="I185" s="154"/>
      <c r="J185" s="66"/>
    </row>
    <row r="186" spans="1:10" s="67" customFormat="1" ht="15.75" customHeight="1">
      <c r="A186" s="60"/>
      <c r="B186" s="155" t="s">
        <v>152</v>
      </c>
      <c r="C186" s="60"/>
      <c r="D186" s="152" t="s">
        <v>153</v>
      </c>
      <c r="E186" s="70">
        <f>4606.81/7.5345</f>
        <v>611.42876103258345</v>
      </c>
      <c r="F186" s="128">
        <v>531</v>
      </c>
      <c r="G186" s="70">
        <v>443.96</v>
      </c>
      <c r="H186" s="154"/>
      <c r="I186" s="154"/>
      <c r="J186" s="66"/>
    </row>
    <row r="187" spans="1:10" s="25" customFormat="1">
      <c r="A187" s="138"/>
      <c r="B187" s="161">
        <v>323</v>
      </c>
      <c r="C187" s="146"/>
      <c r="D187" s="147" t="s">
        <v>155</v>
      </c>
      <c r="E187" s="148">
        <f>SUM(E188:E196)</f>
        <v>21530.649678147191</v>
      </c>
      <c r="F187" s="148">
        <f t="shared" ref="F187" si="62">SUM(F188:F196)</f>
        <v>12462</v>
      </c>
      <c r="G187" s="148">
        <f>SUM(G188:G196)</f>
        <v>34364.060000000005</v>
      </c>
      <c r="H187" s="79"/>
      <c r="I187" s="79"/>
      <c r="J187" s="21"/>
    </row>
    <row r="188" spans="1:10" s="25" customFormat="1">
      <c r="A188" s="138"/>
      <c r="B188" s="162">
        <v>3231</v>
      </c>
      <c r="C188" s="41"/>
      <c r="D188" s="150" t="s">
        <v>157</v>
      </c>
      <c r="E188" s="73">
        <f>1523.97/7.5345</f>
        <v>202.26557833963767</v>
      </c>
      <c r="F188" s="73"/>
      <c r="G188" s="73"/>
      <c r="H188" s="163"/>
      <c r="I188" s="163"/>
      <c r="J188" s="21"/>
    </row>
    <row r="189" spans="1:10" s="25" customFormat="1">
      <c r="A189" s="138"/>
      <c r="B189" s="162">
        <v>3232</v>
      </c>
      <c r="C189" s="41"/>
      <c r="D189" s="150" t="s">
        <v>159</v>
      </c>
      <c r="E189" s="73">
        <f>2068.93/7.5345</f>
        <v>274.59420001327226</v>
      </c>
      <c r="F189" s="128">
        <v>597</v>
      </c>
      <c r="G189" s="73">
        <v>288.58999999999997</v>
      </c>
      <c r="H189" s="163"/>
      <c r="I189" s="163"/>
      <c r="J189" s="21"/>
    </row>
    <row r="190" spans="1:10" s="30" customFormat="1" ht="15.75" customHeight="1">
      <c r="A190" s="138"/>
      <c r="B190" s="162">
        <v>3233</v>
      </c>
      <c r="C190" s="41"/>
      <c r="D190" s="164" t="s">
        <v>229</v>
      </c>
      <c r="E190" s="73">
        <f>3325/7.5345</f>
        <v>441.30333797863159</v>
      </c>
      <c r="F190" s="73"/>
      <c r="G190" s="73">
        <v>3606.25</v>
      </c>
      <c r="H190" s="163"/>
      <c r="I190" s="163"/>
      <c r="J190" s="29"/>
    </row>
    <row r="191" spans="1:10" s="30" customFormat="1" ht="15.75" customHeight="1">
      <c r="A191" s="138"/>
      <c r="B191" s="162">
        <v>3234</v>
      </c>
      <c r="C191" s="41"/>
      <c r="D191" s="164" t="s">
        <v>163</v>
      </c>
      <c r="E191" s="73">
        <f>1350/7.5345</f>
        <v>179.17579135974518</v>
      </c>
      <c r="F191" s="73">
        <v>265</v>
      </c>
      <c r="G191" s="73">
        <v>99.6</v>
      </c>
      <c r="H191" s="163"/>
      <c r="I191" s="163"/>
      <c r="J191" s="29"/>
    </row>
    <row r="192" spans="1:10" s="30" customFormat="1" ht="15.75" customHeight="1">
      <c r="A192" s="138"/>
      <c r="B192" s="162">
        <v>3235</v>
      </c>
      <c r="C192" s="41"/>
      <c r="D192" s="164" t="s">
        <v>165</v>
      </c>
      <c r="E192" s="73"/>
      <c r="F192" s="73"/>
      <c r="G192" s="73">
        <v>193.8</v>
      </c>
      <c r="H192" s="163"/>
      <c r="I192" s="163"/>
      <c r="J192" s="29"/>
    </row>
    <row r="193" spans="1:10" s="30" customFormat="1" ht="15.75" customHeight="1">
      <c r="A193" s="138"/>
      <c r="B193" s="162">
        <v>3236</v>
      </c>
      <c r="C193" s="41"/>
      <c r="D193" s="164" t="s">
        <v>167</v>
      </c>
      <c r="E193" s="73"/>
      <c r="F193" s="73">
        <v>265</v>
      </c>
      <c r="G193" s="73"/>
      <c r="H193" s="163"/>
      <c r="I193" s="163"/>
      <c r="J193" s="29"/>
    </row>
    <row r="194" spans="1:10" s="30" customFormat="1" ht="15.75" customHeight="1">
      <c r="A194" s="138"/>
      <c r="B194" s="162">
        <v>3237</v>
      </c>
      <c r="C194" s="41"/>
      <c r="D194" s="164" t="s">
        <v>169</v>
      </c>
      <c r="E194" s="73">
        <f>145582.85/7.5345</f>
        <v>19322.164709005243</v>
      </c>
      <c r="F194" s="73">
        <v>10618</v>
      </c>
      <c r="G194" s="73">
        <v>28298.81</v>
      </c>
      <c r="H194" s="163"/>
      <c r="I194" s="163"/>
      <c r="J194" s="29"/>
    </row>
    <row r="195" spans="1:10" s="30" customFormat="1" ht="15.75" customHeight="1">
      <c r="A195" s="138"/>
      <c r="B195" s="162">
        <v>3238</v>
      </c>
      <c r="C195" s="41"/>
      <c r="D195" s="164" t="s">
        <v>171</v>
      </c>
      <c r="E195" s="73"/>
      <c r="F195" s="73">
        <v>186</v>
      </c>
      <c r="G195" s="73"/>
      <c r="H195" s="163"/>
      <c r="I195" s="163"/>
      <c r="J195" s="29"/>
    </row>
    <row r="196" spans="1:10" s="30" customFormat="1" ht="15.75" customHeight="1">
      <c r="A196" s="138"/>
      <c r="B196" s="162">
        <v>3239</v>
      </c>
      <c r="C196" s="41"/>
      <c r="D196" s="164" t="s">
        <v>173</v>
      </c>
      <c r="E196" s="73">
        <f>8371.93/7.5345</f>
        <v>1111.1460614506602</v>
      </c>
      <c r="F196" s="73">
        <v>531</v>
      </c>
      <c r="G196" s="73">
        <v>1877.01</v>
      </c>
      <c r="H196" s="163"/>
      <c r="I196" s="163"/>
      <c r="J196" s="29"/>
    </row>
    <row r="197" spans="1:10" s="172" customFormat="1" ht="15.75" customHeight="1">
      <c r="A197" s="165"/>
      <c r="B197" s="166">
        <v>324</v>
      </c>
      <c r="C197" s="167"/>
      <c r="D197" s="168" t="s">
        <v>175</v>
      </c>
      <c r="E197" s="169">
        <f>E198</f>
        <v>66.361404207313029</v>
      </c>
      <c r="F197" s="169">
        <f t="shared" ref="F197" si="63">F198</f>
        <v>398</v>
      </c>
      <c r="G197" s="169">
        <f>G198</f>
        <v>1072.92</v>
      </c>
      <c r="H197" s="170"/>
      <c r="I197" s="170"/>
      <c r="J197" s="171"/>
    </row>
    <row r="198" spans="1:10" s="30" customFormat="1" ht="15.75" customHeight="1">
      <c r="A198" s="138"/>
      <c r="B198" s="162">
        <v>3241</v>
      </c>
      <c r="C198" s="41"/>
      <c r="D198" s="164" t="s">
        <v>175</v>
      </c>
      <c r="E198" s="73">
        <f>500/7.5345</f>
        <v>66.361404207313029</v>
      </c>
      <c r="F198" s="73">
        <v>398</v>
      </c>
      <c r="G198" s="73">
        <v>1072.92</v>
      </c>
      <c r="H198" s="163"/>
      <c r="I198" s="163"/>
      <c r="J198" s="29"/>
    </row>
    <row r="199" spans="1:10" s="25" customFormat="1">
      <c r="A199" s="138"/>
      <c r="B199" s="161">
        <v>329</v>
      </c>
      <c r="C199" s="146"/>
      <c r="D199" s="168" t="s">
        <v>179</v>
      </c>
      <c r="E199" s="148">
        <f>SUM(E200:E204)</f>
        <v>4570.9137965359341</v>
      </c>
      <c r="F199" s="148">
        <f t="shared" ref="F199" si="64">SUM(F200:F204)</f>
        <v>5358</v>
      </c>
      <c r="G199" s="148">
        <f>SUM(G200:G204)</f>
        <v>5683.26</v>
      </c>
      <c r="H199" s="79"/>
      <c r="I199" s="79"/>
      <c r="J199" s="21"/>
    </row>
    <row r="200" spans="1:10" s="25" customFormat="1">
      <c r="A200" s="138"/>
      <c r="B200" s="162">
        <v>3292</v>
      </c>
      <c r="C200" s="41"/>
      <c r="D200" s="164" t="s">
        <v>230</v>
      </c>
      <c r="E200" s="73">
        <f>1604.65/7.5345</f>
        <v>212.9736545225297</v>
      </c>
      <c r="F200" s="73">
        <v>265</v>
      </c>
      <c r="G200" s="73"/>
      <c r="H200" s="163"/>
      <c r="I200" s="163"/>
      <c r="J200" s="21"/>
    </row>
    <row r="201" spans="1:10" s="25" customFormat="1" ht="15.75" customHeight="1">
      <c r="A201" s="138"/>
      <c r="B201" s="162">
        <v>3293</v>
      </c>
      <c r="C201" s="41"/>
      <c r="D201" s="150" t="s">
        <v>183</v>
      </c>
      <c r="E201" s="73">
        <f>11910.11/7.5345</f>
        <v>1580.7432477271218</v>
      </c>
      <c r="F201" s="73">
        <v>2037</v>
      </c>
      <c r="G201" s="73">
        <v>3169.7</v>
      </c>
      <c r="H201" s="163"/>
      <c r="I201" s="163"/>
      <c r="J201" s="21"/>
    </row>
    <row r="202" spans="1:10" s="25" customFormat="1" ht="15.75" customHeight="1">
      <c r="A202" s="138"/>
      <c r="B202" s="162">
        <v>3294</v>
      </c>
      <c r="C202" s="41"/>
      <c r="D202" s="150" t="s">
        <v>231</v>
      </c>
      <c r="E202" s="73">
        <f>729.92/7.5345</f>
        <v>96.877032318003842</v>
      </c>
      <c r="F202" s="73">
        <v>295</v>
      </c>
      <c r="G202" s="73">
        <v>74</v>
      </c>
      <c r="H202" s="163"/>
      <c r="I202" s="163"/>
      <c r="J202" s="21"/>
    </row>
    <row r="203" spans="1:10" s="25" customFormat="1" ht="15.75" customHeight="1">
      <c r="A203" s="138"/>
      <c r="B203" s="162">
        <v>3295</v>
      </c>
      <c r="C203" s="41"/>
      <c r="D203" s="150" t="s">
        <v>220</v>
      </c>
      <c r="E203" s="73">
        <f>836.25/7.5345</f>
        <v>110.98944853673103</v>
      </c>
      <c r="F203" s="73">
        <v>265</v>
      </c>
      <c r="G203" s="73">
        <v>140.32</v>
      </c>
      <c r="H203" s="163"/>
      <c r="I203" s="163"/>
      <c r="J203" s="21"/>
    </row>
    <row r="204" spans="1:10" s="25" customFormat="1" ht="15.75" customHeight="1">
      <c r="A204" s="138"/>
      <c r="B204" s="162">
        <v>3299</v>
      </c>
      <c r="C204" s="41"/>
      <c r="D204" s="150" t="s">
        <v>179</v>
      </c>
      <c r="E204" s="73">
        <f>19358.62/7.5345</f>
        <v>2569.3304134315481</v>
      </c>
      <c r="F204" s="73">
        <v>2496</v>
      </c>
      <c r="G204" s="73">
        <v>2299.2399999999998</v>
      </c>
      <c r="H204" s="163"/>
      <c r="I204" s="163"/>
      <c r="J204" s="21"/>
    </row>
    <row r="205" spans="1:10" s="25" customFormat="1" ht="15.75" customHeight="1">
      <c r="A205" s="138"/>
      <c r="B205" s="106" t="s">
        <v>192</v>
      </c>
      <c r="C205" s="107"/>
      <c r="D205" s="108" t="s">
        <v>193</v>
      </c>
      <c r="E205" s="109">
        <f>E206</f>
        <v>236.55318866547213</v>
      </c>
      <c r="F205" s="109">
        <f t="shared" ref="F205" si="65">F206</f>
        <v>199</v>
      </c>
      <c r="G205" s="109">
        <f>G206</f>
        <v>134.31</v>
      </c>
      <c r="H205" s="110">
        <f>G205/E205*100</f>
        <v>56.777928362630526</v>
      </c>
      <c r="I205" s="110">
        <f>G205/F205*100</f>
        <v>67.492462311557787</v>
      </c>
      <c r="J205" s="21"/>
    </row>
    <row r="206" spans="1:10" s="25" customFormat="1" ht="15.75" customHeight="1">
      <c r="A206" s="138"/>
      <c r="B206" s="173">
        <v>343</v>
      </c>
      <c r="C206" s="41"/>
      <c r="D206" s="150" t="s">
        <v>195</v>
      </c>
      <c r="E206" s="73">
        <f>E207+E208</f>
        <v>236.55318866547213</v>
      </c>
      <c r="F206" s="73">
        <f t="shared" ref="F206" si="66">F207+F208</f>
        <v>199</v>
      </c>
      <c r="G206" s="73">
        <f>G207+G208</f>
        <v>134.31</v>
      </c>
      <c r="H206" s="163"/>
      <c r="I206" s="163"/>
      <c r="J206" s="21"/>
    </row>
    <row r="207" spans="1:10" s="25" customFormat="1" ht="15.75" customHeight="1">
      <c r="A207" s="138"/>
      <c r="B207" s="162">
        <v>3431</v>
      </c>
      <c r="C207" s="41"/>
      <c r="D207" s="150" t="s">
        <v>232</v>
      </c>
      <c r="E207" s="73">
        <f>1341.27/7.5345</f>
        <v>178.01712124228547</v>
      </c>
      <c r="F207" s="128">
        <v>199</v>
      </c>
      <c r="G207" s="73">
        <v>132.69999999999999</v>
      </c>
      <c r="H207" s="163"/>
      <c r="I207" s="163"/>
      <c r="J207" s="21"/>
    </row>
    <row r="208" spans="1:10" s="25" customFormat="1" ht="15.75" customHeight="1">
      <c r="A208" s="138"/>
      <c r="B208" s="162">
        <v>3432</v>
      </c>
      <c r="C208" s="41"/>
      <c r="D208" s="150" t="s">
        <v>233</v>
      </c>
      <c r="E208" s="73">
        <f>441.04/7.5345</f>
        <v>58.536067423186672</v>
      </c>
      <c r="F208" s="73"/>
      <c r="G208" s="73">
        <v>1.61</v>
      </c>
      <c r="H208" s="163"/>
      <c r="I208" s="163"/>
      <c r="J208" s="21"/>
    </row>
    <row r="209" spans="1:10" s="25" customFormat="1" ht="15.75" customHeight="1">
      <c r="A209" s="138"/>
      <c r="B209" s="106" t="s">
        <v>209</v>
      </c>
      <c r="C209" s="107"/>
      <c r="D209" s="108" t="s">
        <v>210</v>
      </c>
      <c r="E209" s="109">
        <f>E210</f>
        <v>796.33685048775624</v>
      </c>
      <c r="F209" s="109">
        <f t="shared" ref="F209:G210" si="67">F210</f>
        <v>0</v>
      </c>
      <c r="G209" s="109">
        <f t="shared" si="67"/>
        <v>0</v>
      </c>
      <c r="H209" s="110">
        <f>G209/E209*100</f>
        <v>0</v>
      </c>
      <c r="I209" s="110" t="e">
        <f>G209/F209*100</f>
        <v>#DIV/0!</v>
      </c>
      <c r="J209" s="21"/>
    </row>
    <row r="210" spans="1:10" s="25" customFormat="1" ht="15.75" customHeight="1">
      <c r="A210" s="138"/>
      <c r="B210" s="173">
        <v>372</v>
      </c>
      <c r="C210" s="41"/>
      <c r="D210" s="150" t="s">
        <v>212</v>
      </c>
      <c r="E210" s="73">
        <f>E211</f>
        <v>796.33685048775624</v>
      </c>
      <c r="F210" s="73">
        <f t="shared" si="67"/>
        <v>0</v>
      </c>
      <c r="G210" s="73">
        <f t="shared" si="67"/>
        <v>0</v>
      </c>
      <c r="H210" s="163"/>
      <c r="I210" s="163"/>
      <c r="J210" s="21"/>
    </row>
    <row r="211" spans="1:10" s="25" customFormat="1" ht="15.75" customHeight="1">
      <c r="A211" s="138"/>
      <c r="B211" s="162">
        <v>3721</v>
      </c>
      <c r="C211" s="41"/>
      <c r="D211" s="150" t="s">
        <v>214</v>
      </c>
      <c r="E211" s="73">
        <f>6000/7.5345</f>
        <v>796.33685048775624</v>
      </c>
      <c r="F211" s="73"/>
      <c r="G211" s="73"/>
      <c r="H211" s="163"/>
      <c r="I211" s="163"/>
      <c r="J211" s="21"/>
    </row>
    <row r="212" spans="1:10" s="25" customFormat="1" ht="15.75" customHeight="1">
      <c r="A212" s="60"/>
      <c r="B212" s="106" t="s">
        <v>215</v>
      </c>
      <c r="C212" s="107"/>
      <c r="D212" s="108" t="s">
        <v>191</v>
      </c>
      <c r="E212" s="109">
        <f>SUM(E213)</f>
        <v>729.97544628044329</v>
      </c>
      <c r="F212" s="109">
        <f t="shared" ref="F212:G212" si="68">SUM(F213)</f>
        <v>7963</v>
      </c>
      <c r="G212" s="109">
        <f t="shared" si="68"/>
        <v>1827.23</v>
      </c>
      <c r="H212" s="110">
        <f>G212/E212*100</f>
        <v>250.3138988181818</v>
      </c>
      <c r="I212" s="110">
        <f>G212/F212*100</f>
        <v>22.94650257440663</v>
      </c>
      <c r="J212" s="21"/>
    </row>
    <row r="213" spans="1:10" s="25" customFormat="1" ht="15.75" customHeight="1">
      <c r="A213" s="138"/>
      <c r="B213" s="145">
        <v>381</v>
      </c>
      <c r="C213" s="146"/>
      <c r="D213" s="147" t="s">
        <v>87</v>
      </c>
      <c r="E213" s="148">
        <f>E214</f>
        <v>729.97544628044329</v>
      </c>
      <c r="F213" s="148">
        <f t="shared" ref="F213:G213" si="69">F214</f>
        <v>7963</v>
      </c>
      <c r="G213" s="148">
        <f t="shared" si="69"/>
        <v>1827.23</v>
      </c>
      <c r="H213" s="79"/>
      <c r="I213" s="79"/>
      <c r="J213" s="21"/>
    </row>
    <row r="214" spans="1:10" s="25" customFormat="1" ht="15.75" customHeight="1">
      <c r="A214" s="138"/>
      <c r="B214" s="149">
        <v>3811</v>
      </c>
      <c r="C214" s="41"/>
      <c r="D214" s="150" t="s">
        <v>218</v>
      </c>
      <c r="E214" s="73">
        <f>5500/7.5345</f>
        <v>729.97544628044329</v>
      </c>
      <c r="F214" s="148">
        <v>7963</v>
      </c>
      <c r="G214" s="148">
        <v>1827.23</v>
      </c>
      <c r="H214" s="79"/>
      <c r="I214" s="79"/>
      <c r="J214" s="21"/>
    </row>
    <row r="215" spans="1:10" s="144" customFormat="1" ht="15.75" customHeight="1">
      <c r="A215" s="138"/>
      <c r="B215" s="54"/>
      <c r="C215" s="139" t="s">
        <v>84</v>
      </c>
      <c r="D215" s="140" t="s">
        <v>234</v>
      </c>
      <c r="E215" s="141">
        <f>E169+E176+E212+E209+E205</f>
        <v>242032.20784391795</v>
      </c>
      <c r="F215" s="141">
        <f t="shared" ref="F215" si="70">F169+F176+F212+F209+F205</f>
        <v>231045</v>
      </c>
      <c r="G215" s="141">
        <f>G169+G176+G212+G209+G205</f>
        <v>168215.32</v>
      </c>
      <c r="H215" s="142">
        <f>G215/E215*100</f>
        <v>69.50121287513889</v>
      </c>
      <c r="I215" s="142">
        <f>G215/F215*100</f>
        <v>72.80630180267913</v>
      </c>
      <c r="J215" s="143"/>
    </row>
    <row r="216" spans="1:10" s="25" customFormat="1">
      <c r="A216" s="60"/>
      <c r="B216" s="106">
        <v>31</v>
      </c>
      <c r="C216" s="107"/>
      <c r="D216" s="108" t="s">
        <v>120</v>
      </c>
      <c r="E216" s="109">
        <f>SUM(E219)+E217+E221</f>
        <v>89275.256486827246</v>
      </c>
      <c r="F216" s="109">
        <f t="shared" ref="F216:G216" si="71">SUM(F219)+F217+F221</f>
        <v>35252</v>
      </c>
      <c r="G216" s="109">
        <f t="shared" si="71"/>
        <v>19254.28</v>
      </c>
      <c r="H216" s="110">
        <f>G216/E216*100</f>
        <v>21.567319722952586</v>
      </c>
      <c r="I216" s="110">
        <f>G216/F216*100</f>
        <v>54.618971973221377</v>
      </c>
      <c r="J216" s="21"/>
    </row>
    <row r="217" spans="1:10" s="67" customFormat="1">
      <c r="A217" s="60"/>
      <c r="B217" s="151" t="s">
        <v>222</v>
      </c>
      <c r="C217" s="60"/>
      <c r="D217" s="152" t="s">
        <v>122</v>
      </c>
      <c r="E217" s="153">
        <f>E218</f>
        <v>9707.8810803636607</v>
      </c>
      <c r="F217" s="153">
        <f t="shared" ref="F217:G217" si="72">F218</f>
        <v>0</v>
      </c>
      <c r="G217" s="153">
        <f t="shared" si="72"/>
        <v>0</v>
      </c>
      <c r="H217" s="154"/>
      <c r="I217" s="154"/>
      <c r="J217" s="66"/>
    </row>
    <row r="218" spans="1:10" s="67" customFormat="1">
      <c r="A218" s="60"/>
      <c r="B218" s="155" t="s">
        <v>125</v>
      </c>
      <c r="C218" s="60"/>
      <c r="D218" s="174" t="s">
        <v>126</v>
      </c>
      <c r="E218" s="70">
        <f>73144.03/7.5345</f>
        <v>9707.8810803636607</v>
      </c>
      <c r="F218" s="70"/>
      <c r="G218" s="70"/>
      <c r="H218" s="175"/>
      <c r="I218" s="175"/>
      <c r="J218" s="66"/>
    </row>
    <row r="219" spans="1:10" s="25" customFormat="1" ht="15.75" customHeight="1">
      <c r="A219" s="60"/>
      <c r="B219" s="35">
        <v>312</v>
      </c>
      <c r="C219" s="176"/>
      <c r="D219" s="168" t="s">
        <v>235</v>
      </c>
      <c r="E219" s="125">
        <f>SUM(E220)</f>
        <v>77965.574357953403</v>
      </c>
      <c r="F219" s="125">
        <f t="shared" ref="F219:G219" si="73">SUM(F220)</f>
        <v>35252</v>
      </c>
      <c r="G219" s="125">
        <f t="shared" si="73"/>
        <v>19254.28</v>
      </c>
      <c r="H219" s="79">
        <f>SUM(G220/E220*100)</f>
        <v>24.695873991257063</v>
      </c>
      <c r="I219" s="79"/>
      <c r="J219" s="21"/>
    </row>
    <row r="220" spans="1:10" s="25" customFormat="1">
      <c r="A220" s="60"/>
      <c r="B220" s="48" t="s">
        <v>129</v>
      </c>
      <c r="C220" s="176"/>
      <c r="D220" s="164" t="s">
        <v>235</v>
      </c>
      <c r="E220" s="127">
        <f>587431.62/7.5345</f>
        <v>77965.574357953403</v>
      </c>
      <c r="F220" s="127">
        <v>35252</v>
      </c>
      <c r="G220" s="127">
        <v>19254.28</v>
      </c>
      <c r="H220" s="114">
        <f>SUM(G223/E223*100)</f>
        <v>56.845140956535403</v>
      </c>
      <c r="I220" s="114"/>
      <c r="J220" s="21"/>
    </row>
    <row r="221" spans="1:10" s="25" customFormat="1">
      <c r="A221" s="60"/>
      <c r="B221" s="45" t="s">
        <v>224</v>
      </c>
      <c r="C221" s="176"/>
      <c r="D221" s="164" t="s">
        <v>131</v>
      </c>
      <c r="E221" s="177">
        <f>E222</f>
        <v>1601.8010485101865</v>
      </c>
      <c r="F221" s="177">
        <f>F222</f>
        <v>0</v>
      </c>
      <c r="G221" s="177">
        <f t="shared" ref="G221" si="74">G222</f>
        <v>0</v>
      </c>
      <c r="H221" s="114"/>
      <c r="I221" s="114"/>
      <c r="J221" s="21"/>
    </row>
    <row r="222" spans="1:10" s="25" customFormat="1">
      <c r="A222" s="60"/>
      <c r="B222" s="48" t="s">
        <v>225</v>
      </c>
      <c r="C222" s="176"/>
      <c r="D222" s="164" t="s">
        <v>132</v>
      </c>
      <c r="E222" s="127">
        <f>12068.77/7.5345</f>
        <v>1601.8010485101865</v>
      </c>
      <c r="F222" s="127"/>
      <c r="G222" s="127"/>
      <c r="H222" s="114"/>
      <c r="I222" s="114"/>
      <c r="J222" s="21"/>
    </row>
    <row r="223" spans="1:10" s="25" customFormat="1">
      <c r="A223" s="60"/>
      <c r="B223" s="106">
        <v>32</v>
      </c>
      <c r="C223" s="107"/>
      <c r="D223" s="108" t="s">
        <v>134</v>
      </c>
      <c r="E223" s="109">
        <f>E224+E229+E235+E245+E247</f>
        <v>854148.85393854929</v>
      </c>
      <c r="F223" s="109">
        <f>F224+F229+F235+F245+F247</f>
        <v>787492</v>
      </c>
      <c r="G223" s="109">
        <f t="shared" ref="G223" si="75">G224+G229+G235+G245+G247</f>
        <v>485542.12</v>
      </c>
      <c r="H223" s="110">
        <f>G223/E223*100</f>
        <v>56.845140956535403</v>
      </c>
      <c r="I223" s="110">
        <f>G223/F223*100</f>
        <v>61.656768576696649</v>
      </c>
      <c r="J223" s="21"/>
    </row>
    <row r="224" spans="1:10" s="25" customFormat="1" ht="15.75" customHeight="1">
      <c r="A224" s="60"/>
      <c r="B224" s="178">
        <v>321</v>
      </c>
      <c r="C224" s="176"/>
      <c r="D224" s="168" t="s">
        <v>135</v>
      </c>
      <c r="E224" s="79">
        <f>E225+E226+E227+E228</f>
        <v>21697.780874643307</v>
      </c>
      <c r="F224" s="79">
        <f t="shared" ref="F224:G224" si="76">F225+F226+F227+F228</f>
        <v>14206</v>
      </c>
      <c r="G224" s="79">
        <f t="shared" si="76"/>
        <v>9958.5400000000009</v>
      </c>
      <c r="H224" s="79">
        <f>H225+H226+H227+H228</f>
        <v>43.078038433092878</v>
      </c>
      <c r="I224" s="79">
        <f t="shared" ref="I224" si="77">I225+I226+I227+I228</f>
        <v>0</v>
      </c>
      <c r="J224" s="21"/>
    </row>
    <row r="225" spans="1:10" s="25" customFormat="1" ht="15.75" customHeight="1">
      <c r="A225" s="115"/>
      <c r="B225" s="179" t="s">
        <v>136</v>
      </c>
      <c r="C225" s="49"/>
      <c r="D225" s="164" t="s">
        <v>137</v>
      </c>
      <c r="E225" s="114">
        <f>131112.18/7.5345</f>
        <v>17401.576746963965</v>
      </c>
      <c r="F225" s="114">
        <v>12512</v>
      </c>
      <c r="G225" s="114">
        <v>9201.26</v>
      </c>
      <c r="H225" s="114">
        <f>SUM(G226/E226*100)</f>
        <v>2.7398181818181818E-3</v>
      </c>
      <c r="I225" s="114"/>
      <c r="J225" s="21"/>
    </row>
    <row r="226" spans="1:10" s="25" customFormat="1" ht="15.75" customHeight="1">
      <c r="A226" s="115"/>
      <c r="B226" s="179" t="s">
        <v>138</v>
      </c>
      <c r="C226" s="49"/>
      <c r="D226" s="43" t="s">
        <v>139</v>
      </c>
      <c r="E226" s="114">
        <f>2750/7.5345</f>
        <v>364.98772314022165</v>
      </c>
      <c r="F226" s="114"/>
      <c r="G226" s="114">
        <v>0.01</v>
      </c>
      <c r="H226" s="79">
        <f>SUM(G229/E229*100)</f>
        <v>43.075298614911063</v>
      </c>
      <c r="I226" s="79"/>
      <c r="J226" s="21"/>
    </row>
    <row r="227" spans="1:10" s="25" customFormat="1" ht="15.75" customHeight="1">
      <c r="A227" s="115"/>
      <c r="B227" s="179">
        <v>3213</v>
      </c>
      <c r="C227" s="49"/>
      <c r="D227" s="43" t="s">
        <v>228</v>
      </c>
      <c r="E227" s="114">
        <f>29533.75/7.5345</f>
        <v>3919.802243015462</v>
      </c>
      <c r="F227" s="114">
        <v>1694</v>
      </c>
      <c r="G227" s="114">
        <v>757.27</v>
      </c>
      <c r="H227" s="79"/>
      <c r="I227" s="79"/>
      <c r="J227" s="21"/>
    </row>
    <row r="228" spans="1:10" s="25" customFormat="1" ht="15.75" customHeight="1">
      <c r="A228" s="115"/>
      <c r="B228" s="179">
        <v>3214</v>
      </c>
      <c r="C228" s="49"/>
      <c r="D228" s="43" t="s">
        <v>236</v>
      </c>
      <c r="E228" s="114">
        <f>86/7.5345</f>
        <v>11.414161523657841</v>
      </c>
      <c r="F228" s="114"/>
      <c r="G228" s="114"/>
      <c r="H228" s="79"/>
      <c r="I228" s="79"/>
      <c r="J228" s="21"/>
    </row>
    <row r="229" spans="1:10" s="30" customFormat="1" ht="15.75" customHeight="1">
      <c r="A229" s="60"/>
      <c r="B229" s="178">
        <v>322</v>
      </c>
      <c r="C229" s="176"/>
      <c r="D229" s="168" t="s">
        <v>143</v>
      </c>
      <c r="E229" s="79">
        <f>E230+E231+E233+E232+E234</f>
        <v>97091.375671909205</v>
      </c>
      <c r="F229" s="79">
        <f>F230+F231+F233+F232+F234</f>
        <v>74362</v>
      </c>
      <c r="G229" s="79">
        <f t="shared" ref="G229" si="78">G230+G231+G233+G232+G234</f>
        <v>41822.400000000001</v>
      </c>
      <c r="H229" s="114">
        <f>SUM(G230/E230*100)</f>
        <v>48.09075479266837</v>
      </c>
      <c r="I229" s="114"/>
      <c r="J229" s="29"/>
    </row>
    <row r="230" spans="1:10" s="30" customFormat="1" ht="15.75" customHeight="1">
      <c r="A230" s="115"/>
      <c r="B230" s="179" t="s">
        <v>144</v>
      </c>
      <c r="C230" s="49"/>
      <c r="D230" s="164" t="s">
        <v>145</v>
      </c>
      <c r="E230" s="114">
        <f>299419.84/7.5345</f>
        <v>39739.842059857991</v>
      </c>
      <c r="F230" s="114">
        <v>17980</v>
      </c>
      <c r="G230" s="114">
        <v>19111.189999999999</v>
      </c>
      <c r="H230" s="114">
        <f>SUM(G231/E231*100)</f>
        <v>43.072291409340856</v>
      </c>
      <c r="I230" s="114"/>
      <c r="J230" s="29"/>
    </row>
    <row r="231" spans="1:10" s="25" customFormat="1" ht="15.75" customHeight="1">
      <c r="A231" s="115"/>
      <c r="B231" s="179" t="s">
        <v>146</v>
      </c>
      <c r="C231" s="49"/>
      <c r="D231" s="164" t="s">
        <v>147</v>
      </c>
      <c r="E231" s="114">
        <f>372493.07/7.5345</f>
        <v>49438.326365385888</v>
      </c>
      <c r="F231" s="114">
        <v>49460</v>
      </c>
      <c r="G231" s="114">
        <v>21294.22</v>
      </c>
      <c r="H231" s="114">
        <f>SUM(G233/E233*100)</f>
        <v>0</v>
      </c>
      <c r="I231" s="114"/>
      <c r="J231" s="21"/>
    </row>
    <row r="232" spans="1:10" s="25" customFormat="1" ht="15.75" customHeight="1">
      <c r="A232" s="115"/>
      <c r="B232" s="179">
        <v>3224</v>
      </c>
      <c r="C232" s="49"/>
      <c r="D232" s="164" t="s">
        <v>149</v>
      </c>
      <c r="E232" s="114">
        <f>32595.85/7.5345</f>
        <v>4326.2127546618885</v>
      </c>
      <c r="F232" s="114">
        <v>4332</v>
      </c>
      <c r="G232" s="114">
        <v>1390.99</v>
      </c>
      <c r="H232" s="114"/>
      <c r="I232" s="114"/>
      <c r="J232" s="21"/>
    </row>
    <row r="233" spans="1:10" s="100" customFormat="1">
      <c r="A233" s="115"/>
      <c r="B233" s="179">
        <v>3225</v>
      </c>
      <c r="C233" s="49"/>
      <c r="D233" s="43" t="s">
        <v>151</v>
      </c>
      <c r="E233" s="114">
        <f>9958.04/7.5345</f>
        <v>1321.659035105183</v>
      </c>
      <c r="F233" s="114">
        <v>1528</v>
      </c>
      <c r="G233" s="114">
        <f>SUM(#REF!)</f>
        <v>0</v>
      </c>
      <c r="H233" s="79">
        <f>SUM(G235/E235*100)</f>
        <v>60.47375110395258</v>
      </c>
      <c r="I233" s="79"/>
      <c r="J233" s="99"/>
    </row>
    <row r="234" spans="1:10" s="100" customFormat="1">
      <c r="A234" s="115"/>
      <c r="B234" s="179">
        <v>3227</v>
      </c>
      <c r="C234" s="49"/>
      <c r="D234" s="43" t="s">
        <v>153</v>
      </c>
      <c r="E234" s="114">
        <f>17068.17/7.5345</f>
        <v>2265.3354568982677</v>
      </c>
      <c r="F234" s="114">
        <v>1062</v>
      </c>
      <c r="G234" s="114">
        <v>26</v>
      </c>
      <c r="H234" s="79"/>
      <c r="I234" s="79"/>
      <c r="J234" s="99"/>
    </row>
    <row r="235" spans="1:10" s="30" customFormat="1">
      <c r="A235" s="60"/>
      <c r="B235" s="178">
        <v>323</v>
      </c>
      <c r="C235" s="176"/>
      <c r="D235" s="168" t="s">
        <v>155</v>
      </c>
      <c r="E235" s="79">
        <f>SUM(E236:E244)</f>
        <v>333061.09894485364</v>
      </c>
      <c r="F235" s="79">
        <f t="shared" ref="F235:G235" si="79">SUM(F236:F244)</f>
        <v>217977</v>
      </c>
      <c r="G235" s="79">
        <f t="shared" si="79"/>
        <v>201414.54</v>
      </c>
      <c r="H235" s="114">
        <f>SUM(G236/E236*100)</f>
        <v>39.014962814020187</v>
      </c>
      <c r="I235" s="114"/>
      <c r="J235" s="29"/>
    </row>
    <row r="236" spans="1:10" s="30" customFormat="1">
      <c r="A236" s="115"/>
      <c r="B236" s="179" t="s">
        <v>156</v>
      </c>
      <c r="C236" s="49"/>
      <c r="D236" s="164" t="s">
        <v>157</v>
      </c>
      <c r="E236" s="114">
        <f>271662.87/7.5345</f>
        <v>36055.859048377461</v>
      </c>
      <c r="F236" s="114">
        <v>9360</v>
      </c>
      <c r="G236" s="114">
        <v>14067.18</v>
      </c>
      <c r="H236" s="114">
        <f>SUM(G238/E238*100)</f>
        <v>17.340764889521505</v>
      </c>
      <c r="I236" s="114"/>
      <c r="J236" s="29"/>
    </row>
    <row r="237" spans="1:10" s="30" customFormat="1">
      <c r="A237" s="115"/>
      <c r="B237" s="179">
        <v>3232</v>
      </c>
      <c r="C237" s="49"/>
      <c r="D237" s="164" t="s">
        <v>159</v>
      </c>
      <c r="E237" s="114">
        <f>53219.67/7.5345</f>
        <v>7063.4640652996213</v>
      </c>
      <c r="F237" s="114">
        <v>7340</v>
      </c>
      <c r="G237" s="114">
        <v>2631.24</v>
      </c>
      <c r="H237" s="114"/>
      <c r="I237" s="114"/>
      <c r="J237" s="29"/>
    </row>
    <row r="238" spans="1:10" s="30" customFormat="1">
      <c r="A238" s="115"/>
      <c r="B238" s="179">
        <v>3233</v>
      </c>
      <c r="C238" s="49"/>
      <c r="D238" s="164" t="s">
        <v>161</v>
      </c>
      <c r="E238" s="114">
        <f>134025.63/7.5345</f>
        <v>17788.258013139559</v>
      </c>
      <c r="F238" s="114">
        <v>10651</v>
      </c>
      <c r="G238" s="114">
        <v>3084.62</v>
      </c>
      <c r="H238" s="114">
        <f>SUM(G240/E240*100)</f>
        <v>60.502560008769777</v>
      </c>
      <c r="I238" s="114"/>
      <c r="J238" s="29"/>
    </row>
    <row r="239" spans="1:10" s="30" customFormat="1">
      <c r="A239" s="115"/>
      <c r="B239" s="179">
        <v>3234</v>
      </c>
      <c r="C239" s="49"/>
      <c r="D239" s="164" t="s">
        <v>163</v>
      </c>
      <c r="E239" s="114">
        <f>66550.87/7.5345</f>
        <v>8832.8183688366826</v>
      </c>
      <c r="F239" s="114">
        <v>7037</v>
      </c>
      <c r="G239" s="114">
        <v>3948.96</v>
      </c>
      <c r="H239" s="114"/>
      <c r="I239" s="114"/>
      <c r="J239" s="29"/>
    </row>
    <row r="240" spans="1:10" s="30" customFormat="1">
      <c r="A240" s="115"/>
      <c r="B240" s="179">
        <v>3235</v>
      </c>
      <c r="C240" s="49"/>
      <c r="D240" s="164" t="s">
        <v>165</v>
      </c>
      <c r="E240" s="114">
        <f>96330.92/7.5345</f>
        <v>12785.310239564667</v>
      </c>
      <c r="F240" s="114">
        <v>6538</v>
      </c>
      <c r="G240" s="114">
        <v>7735.44</v>
      </c>
      <c r="H240" s="114">
        <f>SUM(G242/E242*100)</f>
        <v>70.208498270627061</v>
      </c>
      <c r="I240" s="114"/>
      <c r="J240" s="29"/>
    </row>
    <row r="241" spans="1:10" s="30" customFormat="1">
      <c r="A241" s="115"/>
      <c r="B241" s="179">
        <v>3236</v>
      </c>
      <c r="C241" s="49"/>
      <c r="D241" s="164" t="s">
        <v>167</v>
      </c>
      <c r="E241" s="114">
        <f>2591.35/7.5345</f>
        <v>343.93124958524118</v>
      </c>
      <c r="F241" s="114">
        <v>2092</v>
      </c>
      <c r="G241" s="114">
        <v>137.66</v>
      </c>
      <c r="H241" s="114"/>
      <c r="I241" s="114"/>
      <c r="J241" s="29"/>
    </row>
    <row r="242" spans="1:10" s="30" customFormat="1">
      <c r="A242" s="115"/>
      <c r="B242" s="179">
        <v>3237</v>
      </c>
      <c r="C242" s="49"/>
      <c r="D242" s="164" t="s">
        <v>169</v>
      </c>
      <c r="E242" s="114">
        <f>1687062.36/7.5345</f>
        <v>223911.65438980688</v>
      </c>
      <c r="F242" s="114">
        <v>155862</v>
      </c>
      <c r="G242" s="114">
        <v>157205.01</v>
      </c>
      <c r="H242" s="114">
        <f>SUM(G243/E243*100)</f>
        <v>299.48168477942181</v>
      </c>
      <c r="I242" s="114"/>
      <c r="J242" s="29"/>
    </row>
    <row r="243" spans="1:10" s="30" customFormat="1">
      <c r="A243" s="115"/>
      <c r="B243" s="179">
        <v>3238</v>
      </c>
      <c r="C243" s="49"/>
      <c r="D243" s="164" t="s">
        <v>237</v>
      </c>
      <c r="E243" s="114">
        <f>7162.54/7.5345</f>
        <v>950.63242418209563</v>
      </c>
      <c r="F243" s="114">
        <v>2822</v>
      </c>
      <c r="G243" s="114">
        <v>2846.97</v>
      </c>
      <c r="H243" s="114"/>
      <c r="I243" s="114"/>
      <c r="J243" s="29"/>
    </row>
    <row r="244" spans="1:10" s="30" customFormat="1">
      <c r="A244" s="115"/>
      <c r="B244" s="179" t="s">
        <v>172</v>
      </c>
      <c r="C244" s="49"/>
      <c r="D244" s="164" t="s">
        <v>173</v>
      </c>
      <c r="E244" s="114">
        <f>190842.64/7.5345</f>
        <v>25329.17114606145</v>
      </c>
      <c r="F244" s="114">
        <v>16275</v>
      </c>
      <c r="G244" s="114">
        <v>9757.4599999999991</v>
      </c>
      <c r="H244" s="79">
        <f>SUM(G245/E245*100)</f>
        <v>72.994160787727395</v>
      </c>
      <c r="I244" s="79"/>
      <c r="J244" s="29"/>
    </row>
    <row r="245" spans="1:10" s="30" customFormat="1">
      <c r="A245" s="115"/>
      <c r="B245" s="173">
        <v>324</v>
      </c>
      <c r="C245" s="49"/>
      <c r="D245" s="168" t="s">
        <v>175</v>
      </c>
      <c r="E245" s="121">
        <f>E246</f>
        <v>45644.678478996619</v>
      </c>
      <c r="F245" s="121">
        <f t="shared" ref="F245:G245" si="80">F246</f>
        <v>53767</v>
      </c>
      <c r="G245" s="121">
        <f t="shared" si="80"/>
        <v>33317.949999999997</v>
      </c>
      <c r="H245" s="79"/>
      <c r="I245" s="79"/>
      <c r="J245" s="29"/>
    </row>
    <row r="246" spans="1:10" s="30" customFormat="1">
      <c r="A246" s="115"/>
      <c r="B246" s="179">
        <v>3241</v>
      </c>
      <c r="C246" s="49"/>
      <c r="D246" s="164" t="s">
        <v>175</v>
      </c>
      <c r="E246" s="114">
        <f>343909.83/7.5345</f>
        <v>45644.678478996619</v>
      </c>
      <c r="F246" s="114">
        <v>53767</v>
      </c>
      <c r="G246" s="114">
        <v>33317.949999999997</v>
      </c>
      <c r="H246" s="79"/>
      <c r="I246" s="79"/>
      <c r="J246" s="29"/>
    </row>
    <row r="247" spans="1:10" s="30" customFormat="1">
      <c r="A247" s="60"/>
      <c r="B247" s="178">
        <v>329</v>
      </c>
      <c r="C247" s="176"/>
      <c r="D247" s="168" t="s">
        <v>179</v>
      </c>
      <c r="E247" s="79">
        <f>SUM(E248:E253)</f>
        <v>356653.91996814648</v>
      </c>
      <c r="F247" s="79">
        <f t="shared" ref="F247:G247" si="81">SUM(F248:F253)</f>
        <v>427180</v>
      </c>
      <c r="G247" s="79">
        <f t="shared" si="81"/>
        <v>199028.69</v>
      </c>
      <c r="H247" s="114" t="e">
        <f>SUM(G248/E248*100)</f>
        <v>#DIV/0!</v>
      </c>
      <c r="I247" s="114"/>
      <c r="J247" s="29"/>
    </row>
    <row r="248" spans="1:10" s="30" customFormat="1" ht="30">
      <c r="A248" s="115"/>
      <c r="B248" s="179" t="s">
        <v>238</v>
      </c>
      <c r="C248" s="49"/>
      <c r="D248" s="43" t="s">
        <v>239</v>
      </c>
      <c r="E248" s="114">
        <v>0</v>
      </c>
      <c r="F248" s="114"/>
      <c r="G248" s="114">
        <f>SUM(#REF!)</f>
        <v>0</v>
      </c>
      <c r="H248" s="114">
        <f>SUM(G250/E250*100)</f>
        <v>41.603832816460191</v>
      </c>
      <c r="I248" s="114"/>
      <c r="J248" s="29"/>
    </row>
    <row r="249" spans="1:10" s="30" customFormat="1">
      <c r="A249" s="115"/>
      <c r="B249" s="179">
        <v>3292</v>
      </c>
      <c r="C249" s="49"/>
      <c r="D249" s="43" t="s">
        <v>181</v>
      </c>
      <c r="E249" s="180">
        <f>1657.56/7.5345</f>
        <v>219.99601831574753</v>
      </c>
      <c r="F249" s="114">
        <v>265</v>
      </c>
      <c r="G249" s="114">
        <v>264.06</v>
      </c>
      <c r="H249" s="114"/>
      <c r="I249" s="114"/>
      <c r="J249" s="29"/>
    </row>
    <row r="250" spans="1:10" s="30" customFormat="1">
      <c r="A250" s="115"/>
      <c r="B250" s="179" t="s">
        <v>182</v>
      </c>
      <c r="C250" s="49"/>
      <c r="D250" s="164" t="s">
        <v>183</v>
      </c>
      <c r="E250" s="181">
        <f>146528.54/7.5345</f>
        <v>19447.679341694871</v>
      </c>
      <c r="F250" s="114">
        <v>17982</v>
      </c>
      <c r="G250" s="114">
        <v>8090.98</v>
      </c>
      <c r="H250" s="114">
        <f>SUM(G252/E253*100)</f>
        <v>4.7112271007859995E-3</v>
      </c>
      <c r="I250" s="114"/>
      <c r="J250" s="29"/>
    </row>
    <row r="251" spans="1:10" s="30" customFormat="1">
      <c r="A251" s="115"/>
      <c r="B251" s="179">
        <v>3294</v>
      </c>
      <c r="C251" s="49"/>
      <c r="D251" s="164" t="s">
        <v>185</v>
      </c>
      <c r="E251" s="181">
        <f>2590/7.5345</f>
        <v>343.75207379388144</v>
      </c>
      <c r="F251" s="114">
        <v>442</v>
      </c>
      <c r="G251" s="114">
        <v>21.27</v>
      </c>
      <c r="H251" s="114"/>
      <c r="I251" s="114"/>
      <c r="J251" s="29"/>
    </row>
    <row r="252" spans="1:10" s="30" customFormat="1">
      <c r="A252" s="115"/>
      <c r="B252" s="182">
        <v>3295</v>
      </c>
      <c r="C252" s="49"/>
      <c r="D252" s="183" t="s">
        <v>220</v>
      </c>
      <c r="E252" s="114">
        <f>1598.04/7.5345</f>
        <v>212.096356758909</v>
      </c>
      <c r="F252" s="114">
        <v>531</v>
      </c>
      <c r="G252" s="114">
        <v>15.85</v>
      </c>
      <c r="H252" s="114">
        <f>SUM(G253/E254*100)</f>
        <v>4779.2211083653201</v>
      </c>
      <c r="I252" s="114"/>
      <c r="J252" s="29"/>
    </row>
    <row r="253" spans="1:10" s="30" customFormat="1">
      <c r="A253" s="115"/>
      <c r="B253" s="182" t="s">
        <v>190</v>
      </c>
      <c r="C253" s="49"/>
      <c r="D253" s="183" t="s">
        <v>179</v>
      </c>
      <c r="E253" s="114">
        <f>2534834.82/7.5345</f>
        <v>336430.39617758308</v>
      </c>
      <c r="F253" s="114">
        <v>407960</v>
      </c>
      <c r="G253" s="114">
        <v>190636.53</v>
      </c>
      <c r="H253" s="79">
        <f>SUM(G254/E254*100)</f>
        <v>44.195814328703456</v>
      </c>
      <c r="I253" s="79"/>
      <c r="J253" s="29"/>
    </row>
    <row r="254" spans="1:10" s="100" customFormat="1" ht="13.9" customHeight="1">
      <c r="A254" s="60"/>
      <c r="B254" s="106">
        <v>34</v>
      </c>
      <c r="C254" s="107"/>
      <c r="D254" s="108" t="s">
        <v>193</v>
      </c>
      <c r="E254" s="109">
        <f>E255</f>
        <v>3988.8619019178445</v>
      </c>
      <c r="F254" s="109">
        <f>F255</f>
        <v>18859</v>
      </c>
      <c r="G254" s="109">
        <f>G255</f>
        <v>1762.91</v>
      </c>
      <c r="H254" s="110">
        <f>G254/E254*100</f>
        <v>44.195814328703456</v>
      </c>
      <c r="I254" s="110">
        <f>G254/F254*100</f>
        <v>9.3478445304629094</v>
      </c>
      <c r="J254" s="99"/>
    </row>
    <row r="255" spans="1:10" s="30" customFormat="1" ht="13.9" customHeight="1">
      <c r="A255" s="60"/>
      <c r="B255" s="178">
        <v>343</v>
      </c>
      <c r="C255" s="176"/>
      <c r="D255" s="168" t="s">
        <v>195</v>
      </c>
      <c r="E255" s="79">
        <f>E256+E257+E258</f>
        <v>3988.8619019178445</v>
      </c>
      <c r="F255" s="79">
        <f>F256+F257+F258</f>
        <v>18859</v>
      </c>
      <c r="G255" s="79">
        <f>G256+G257+G258</f>
        <v>1762.91</v>
      </c>
      <c r="H255" s="114">
        <f>SUM(G256/E256*100)</f>
        <v>48.079732718143127</v>
      </c>
      <c r="I255" s="114"/>
      <c r="J255" s="29"/>
    </row>
    <row r="256" spans="1:10" s="30" customFormat="1" ht="13.9" customHeight="1">
      <c r="A256" s="115"/>
      <c r="B256" s="179" t="s">
        <v>196</v>
      </c>
      <c r="C256" s="49"/>
      <c r="D256" s="164" t="s">
        <v>197</v>
      </c>
      <c r="E256" s="114">
        <f>27371.48/7.5345</f>
        <v>3632.8196960647683</v>
      </c>
      <c r="F256" s="114">
        <v>18852</v>
      </c>
      <c r="G256" s="114">
        <v>1746.65</v>
      </c>
      <c r="H256" s="79">
        <f>SUM(G257/E257*100)</f>
        <v>4.5237025828038648</v>
      </c>
      <c r="I256" s="131"/>
      <c r="J256" s="29"/>
    </row>
    <row r="257" spans="1:10" s="30" customFormat="1" ht="13.9" customHeight="1">
      <c r="A257" s="115"/>
      <c r="B257" s="179">
        <v>3432</v>
      </c>
      <c r="C257" s="49"/>
      <c r="D257" s="164" t="s">
        <v>233</v>
      </c>
      <c r="E257" s="114">
        <f>2659.9/7.5345</f>
        <v>353.02939810206385</v>
      </c>
      <c r="F257" s="114">
        <v>7</v>
      </c>
      <c r="G257" s="114">
        <v>15.97</v>
      </c>
      <c r="H257" s="79"/>
      <c r="I257" s="131"/>
      <c r="J257" s="29"/>
    </row>
    <row r="258" spans="1:10" s="30" customFormat="1" ht="13.9" customHeight="1">
      <c r="A258" s="115"/>
      <c r="B258" s="179">
        <v>3433</v>
      </c>
      <c r="C258" s="49"/>
      <c r="D258" s="164" t="s">
        <v>201</v>
      </c>
      <c r="E258" s="114">
        <f>22.7/7.5345</f>
        <v>3.0128077510120113</v>
      </c>
      <c r="F258" s="114"/>
      <c r="G258" s="114">
        <v>0.28999999999999998</v>
      </c>
      <c r="H258" s="79"/>
      <c r="I258" s="131"/>
      <c r="J258" s="29"/>
    </row>
    <row r="259" spans="1:10" s="100" customFormat="1">
      <c r="A259" s="60"/>
      <c r="B259" s="106" t="s">
        <v>209</v>
      </c>
      <c r="C259" s="107"/>
      <c r="D259" s="108" t="s">
        <v>210</v>
      </c>
      <c r="E259" s="109">
        <f t="shared" ref="E259:G260" si="82">E260</f>
        <v>16050.169221580727</v>
      </c>
      <c r="F259" s="109">
        <f t="shared" si="82"/>
        <v>74395</v>
      </c>
      <c r="G259" s="109">
        <f t="shared" si="82"/>
        <v>10940</v>
      </c>
      <c r="H259" s="110">
        <f>G259/E259*100</f>
        <v>68.161275117836766</v>
      </c>
      <c r="I259" s="110">
        <f>G259/F259*100</f>
        <v>14.705289333960616</v>
      </c>
      <c r="J259" s="99"/>
    </row>
    <row r="260" spans="1:10" s="30" customFormat="1" ht="13.9" customHeight="1">
      <c r="A260" s="115"/>
      <c r="B260" s="173">
        <v>372</v>
      </c>
      <c r="C260" s="49"/>
      <c r="D260" s="164" t="s">
        <v>212</v>
      </c>
      <c r="E260" s="114">
        <f t="shared" si="82"/>
        <v>16050.169221580727</v>
      </c>
      <c r="F260" s="114">
        <f t="shared" si="82"/>
        <v>74395</v>
      </c>
      <c r="G260" s="114">
        <f t="shared" si="82"/>
        <v>10940</v>
      </c>
      <c r="H260" s="79"/>
      <c r="I260" s="131"/>
      <c r="J260" s="29"/>
    </row>
    <row r="261" spans="1:10" s="30" customFormat="1" ht="13.9" customHeight="1">
      <c r="A261" s="115"/>
      <c r="B261" s="179">
        <v>3721</v>
      </c>
      <c r="C261" s="49"/>
      <c r="D261" s="164" t="s">
        <v>214</v>
      </c>
      <c r="E261" s="114">
        <f>120930/7.5345</f>
        <v>16050.169221580727</v>
      </c>
      <c r="F261" s="114">
        <v>74395</v>
      </c>
      <c r="G261" s="114">
        <v>10940</v>
      </c>
      <c r="H261" s="79"/>
      <c r="I261" s="131"/>
      <c r="J261" s="29"/>
    </row>
    <row r="262" spans="1:10" s="30" customFormat="1" ht="13.9" customHeight="1">
      <c r="A262" s="60"/>
      <c r="B262" s="106" t="s">
        <v>215</v>
      </c>
      <c r="C262" s="107"/>
      <c r="D262" s="108" t="s">
        <v>191</v>
      </c>
      <c r="E262" s="184">
        <f t="shared" ref="E262:G262" si="83">E263</f>
        <v>7034.3088459751807</v>
      </c>
      <c r="F262" s="184">
        <f t="shared" si="83"/>
        <v>7962</v>
      </c>
      <c r="G262" s="184">
        <f t="shared" si="83"/>
        <v>200</v>
      </c>
      <c r="H262" s="110">
        <f>G262/E262*100</f>
        <v>2.8432075471698113</v>
      </c>
      <c r="I262" s="110">
        <f>G262/F262*100</f>
        <v>2.5119316754584275</v>
      </c>
      <c r="J262" s="29"/>
    </row>
    <row r="263" spans="1:10" s="30" customFormat="1">
      <c r="A263" s="115"/>
      <c r="B263" s="179">
        <v>381</v>
      </c>
      <c r="C263" s="49"/>
      <c r="D263" s="164" t="s">
        <v>87</v>
      </c>
      <c r="E263" s="121">
        <f>E264+E265</f>
        <v>7034.3088459751807</v>
      </c>
      <c r="F263" s="121">
        <f>F264+F265</f>
        <v>7962</v>
      </c>
      <c r="G263" s="121">
        <f>G264+G265</f>
        <v>200</v>
      </c>
      <c r="H263" s="79"/>
      <c r="I263" s="131"/>
      <c r="J263" s="29"/>
    </row>
    <row r="264" spans="1:10" s="30" customFormat="1">
      <c r="A264" s="115"/>
      <c r="B264" s="179">
        <v>3811</v>
      </c>
      <c r="C264" s="49"/>
      <c r="D264" s="164" t="s">
        <v>240</v>
      </c>
      <c r="E264" s="114">
        <f>53000/7.5345</f>
        <v>7034.3088459751807</v>
      </c>
      <c r="F264" s="114">
        <v>3981</v>
      </c>
      <c r="G264" s="114">
        <v>200</v>
      </c>
      <c r="H264" s="79"/>
      <c r="I264" s="131"/>
      <c r="J264" s="29"/>
    </row>
    <row r="265" spans="1:10" s="30" customFormat="1">
      <c r="A265" s="115"/>
      <c r="B265" s="179">
        <v>3812</v>
      </c>
      <c r="C265" s="49"/>
      <c r="D265" s="164" t="s">
        <v>241</v>
      </c>
      <c r="E265" s="114"/>
      <c r="F265" s="114">
        <v>3981</v>
      </c>
      <c r="G265" s="114"/>
      <c r="H265" s="79"/>
      <c r="I265" s="131"/>
      <c r="J265" s="29"/>
    </row>
    <row r="266" spans="1:10" s="186" customFormat="1" ht="13.9" customHeight="1">
      <c r="A266" s="138"/>
      <c r="B266" s="54"/>
      <c r="C266" s="139" t="s">
        <v>242</v>
      </c>
      <c r="D266" s="140" t="s">
        <v>104</v>
      </c>
      <c r="E266" s="141">
        <f>SUM(E216,E223,E254)+E259+E262</f>
        <v>970497.45039485034</v>
      </c>
      <c r="F266" s="141">
        <f>SUM(F216,F223,F254)+F259+F262</f>
        <v>923960</v>
      </c>
      <c r="G266" s="141">
        <f>SUM(G216,G223,G254)+G259+G262</f>
        <v>517699.31</v>
      </c>
      <c r="H266" s="142">
        <f>G266/E266*100</f>
        <v>53.343706342491906</v>
      </c>
      <c r="I266" s="142">
        <f>G266/F266*100</f>
        <v>56.030489415126198</v>
      </c>
      <c r="J266" s="185"/>
    </row>
    <row r="267" spans="1:10" s="194" customFormat="1" ht="13.9" customHeight="1">
      <c r="A267" s="187"/>
      <c r="B267" s="188">
        <v>31</v>
      </c>
      <c r="C267" s="189"/>
      <c r="D267" s="190" t="s">
        <v>120</v>
      </c>
      <c r="E267" s="191">
        <f>E268+E270+E272</f>
        <v>192473.28953480654</v>
      </c>
      <c r="F267" s="191">
        <f>F268+F270+F272</f>
        <v>190608</v>
      </c>
      <c r="G267" s="191">
        <f t="shared" ref="G267" si="84">G268+G270+G272</f>
        <v>87198.58</v>
      </c>
      <c r="H267" s="192"/>
      <c r="I267" s="192"/>
      <c r="J267" s="193"/>
    </row>
    <row r="268" spans="1:10" s="194" customFormat="1" ht="13.9" customHeight="1">
      <c r="A268" s="187"/>
      <c r="B268" s="62">
        <v>311</v>
      </c>
      <c r="C268" s="195"/>
      <c r="D268" s="152" t="s">
        <v>121</v>
      </c>
      <c r="E268" s="196">
        <f>E269</f>
        <v>160143.34063308779</v>
      </c>
      <c r="F268" s="196">
        <f>F269</f>
        <v>169817</v>
      </c>
      <c r="G268" s="196">
        <f>G269</f>
        <v>72739.289999999994</v>
      </c>
      <c r="H268" s="154"/>
      <c r="I268" s="154"/>
      <c r="J268" s="193"/>
    </row>
    <row r="269" spans="1:10" s="194" customFormat="1" ht="13.9" customHeight="1">
      <c r="A269" s="187"/>
      <c r="B269" s="83">
        <v>3111</v>
      </c>
      <c r="C269" s="155"/>
      <c r="D269" s="174" t="s">
        <v>243</v>
      </c>
      <c r="E269" s="197">
        <f>1206600/7.5345</f>
        <v>160143.34063308779</v>
      </c>
      <c r="F269" s="197">
        <f>116158+13290+17801+22568</f>
        <v>169817</v>
      </c>
      <c r="G269" s="197">
        <v>72739.289999999994</v>
      </c>
      <c r="H269" s="175"/>
      <c r="I269" s="175"/>
      <c r="J269" s="193"/>
    </row>
    <row r="270" spans="1:10" s="194" customFormat="1" ht="13.9" customHeight="1">
      <c r="A270" s="187"/>
      <c r="B270" s="198">
        <v>312</v>
      </c>
      <c r="C270" s="155"/>
      <c r="D270" s="152" t="s">
        <v>128</v>
      </c>
      <c r="E270" s="199">
        <f>E271</f>
        <v>8409.5825867675358</v>
      </c>
      <c r="F270" s="199">
        <f t="shared" ref="F270:G270" si="85">F271</f>
        <v>1274</v>
      </c>
      <c r="G270" s="199">
        <f t="shared" si="85"/>
        <v>2456.4899999999998</v>
      </c>
      <c r="H270" s="175"/>
      <c r="I270" s="175"/>
      <c r="J270" s="193"/>
    </row>
    <row r="271" spans="1:10" s="194" customFormat="1" ht="13.9" customHeight="1">
      <c r="A271" s="187"/>
      <c r="B271" s="83">
        <v>3121</v>
      </c>
      <c r="C271" s="155"/>
      <c r="D271" s="174" t="s">
        <v>128</v>
      </c>
      <c r="E271" s="197">
        <f>63362/7.5345</f>
        <v>8409.5825867675358</v>
      </c>
      <c r="F271" s="197">
        <v>1274</v>
      </c>
      <c r="G271" s="197">
        <v>2456.4899999999998</v>
      </c>
      <c r="H271" s="175"/>
      <c r="I271" s="175"/>
      <c r="J271" s="193"/>
    </row>
    <row r="272" spans="1:10" s="194" customFormat="1" ht="13.9" customHeight="1">
      <c r="A272" s="187"/>
      <c r="B272" s="198">
        <v>313</v>
      </c>
      <c r="C272" s="155"/>
      <c r="D272" s="152" t="s">
        <v>131</v>
      </c>
      <c r="E272" s="199">
        <f>E273</f>
        <v>23920.366314951221</v>
      </c>
      <c r="F272" s="199">
        <f t="shared" ref="F272:G272" si="86">F273</f>
        <v>19517</v>
      </c>
      <c r="G272" s="199">
        <f t="shared" si="86"/>
        <v>12002.8</v>
      </c>
      <c r="H272" s="175"/>
      <c r="I272" s="175"/>
      <c r="J272" s="193"/>
    </row>
    <row r="273" spans="1:10" s="194" customFormat="1" ht="13.9" customHeight="1">
      <c r="A273" s="187"/>
      <c r="B273" s="83">
        <v>3132</v>
      </c>
      <c r="C273" s="155"/>
      <c r="D273" s="174" t="s">
        <v>132</v>
      </c>
      <c r="E273" s="197">
        <f>180228/7.5345</f>
        <v>23920.366314951221</v>
      </c>
      <c r="F273" s="197">
        <f>9413+2708+2937+4459</f>
        <v>19517</v>
      </c>
      <c r="G273" s="197">
        <v>12002.8</v>
      </c>
      <c r="H273" s="175"/>
      <c r="I273" s="175"/>
      <c r="J273" s="193"/>
    </row>
    <row r="274" spans="1:10" s="25" customFormat="1">
      <c r="A274" s="60"/>
      <c r="B274" s="106">
        <v>32</v>
      </c>
      <c r="C274" s="107"/>
      <c r="D274" s="108" t="s">
        <v>134</v>
      </c>
      <c r="E274" s="109">
        <f>SUM(E275,E279,E292)+E284+E294</f>
        <v>403783.4123034043</v>
      </c>
      <c r="F274" s="109">
        <f>SUM(F275,F279,F292)+F284+F294</f>
        <v>341560</v>
      </c>
      <c r="G274" s="109">
        <f t="shared" ref="G274" si="87">SUM(G275,G279,G292)+G284+G294</f>
        <v>147965.83000000002</v>
      </c>
      <c r="H274" s="110">
        <f>G274/E274*100</f>
        <v>36.644851049210011</v>
      </c>
      <c r="I274" s="110">
        <f>G274/F274*100</f>
        <v>43.320596674083625</v>
      </c>
      <c r="J274" s="21"/>
    </row>
    <row r="275" spans="1:10" s="25" customFormat="1">
      <c r="A275" s="60"/>
      <c r="B275" s="35">
        <v>321</v>
      </c>
      <c r="C275" s="176"/>
      <c r="D275" s="168" t="s">
        <v>135</v>
      </c>
      <c r="E275" s="125">
        <f>SUM(E276)+E277+E278</f>
        <v>131219.45981816977</v>
      </c>
      <c r="F275" s="125">
        <f>SUM(F276)+F277+F278</f>
        <v>140182</v>
      </c>
      <c r="G275" s="125">
        <f t="shared" ref="G275" si="88">SUM(G276)+G277+G278</f>
        <v>53292.62</v>
      </c>
      <c r="H275" s="79">
        <f t="shared" ref="H275:H398" si="89">SUM(G276/E276*100)</f>
        <v>40.040241105327659</v>
      </c>
      <c r="I275" s="79"/>
      <c r="J275" s="21"/>
    </row>
    <row r="276" spans="1:10" s="25" customFormat="1">
      <c r="A276" s="60"/>
      <c r="B276" s="48" t="s">
        <v>136</v>
      </c>
      <c r="C276" s="176"/>
      <c r="D276" s="164" t="s">
        <v>137</v>
      </c>
      <c r="E276" s="127">
        <f>914650.05/7.5345</f>
        <v>121394.92335257815</v>
      </c>
      <c r="F276" s="127">
        <f>14966+1128+14680+8218+46361+1000+50000</f>
        <v>136353</v>
      </c>
      <c r="G276" s="127">
        <v>48606.82</v>
      </c>
      <c r="H276" s="79">
        <f>SUM(G279/E279*100)</f>
        <v>109.70503077186366</v>
      </c>
      <c r="I276" s="79"/>
      <c r="J276" s="21"/>
    </row>
    <row r="277" spans="1:10" s="25" customFormat="1">
      <c r="A277" s="60"/>
      <c r="B277" s="48" t="s">
        <v>138</v>
      </c>
      <c r="C277" s="176"/>
      <c r="D277" s="164" t="s">
        <v>244</v>
      </c>
      <c r="E277" s="127">
        <f>32454/7.5345</f>
        <v>4307.3860242882738</v>
      </c>
      <c r="F277" s="127">
        <f>531+1394</f>
        <v>1925</v>
      </c>
      <c r="G277" s="127">
        <v>1875.55</v>
      </c>
      <c r="H277" s="79"/>
      <c r="I277" s="79"/>
      <c r="J277" s="21"/>
    </row>
    <row r="278" spans="1:10" s="25" customFormat="1">
      <c r="A278" s="60"/>
      <c r="B278" s="48" t="s">
        <v>140</v>
      </c>
      <c r="C278" s="176"/>
      <c r="D278" s="164" t="s">
        <v>141</v>
      </c>
      <c r="E278" s="127">
        <f>41568.97/7.5345</f>
        <v>5517.1504413033381</v>
      </c>
      <c r="F278" s="127">
        <v>1904</v>
      </c>
      <c r="G278" s="127">
        <v>2810.25</v>
      </c>
      <c r="H278" s="79"/>
      <c r="I278" s="79"/>
      <c r="J278" s="21"/>
    </row>
    <row r="279" spans="1:10" s="25" customFormat="1">
      <c r="A279" s="60"/>
      <c r="B279" s="35">
        <v>322</v>
      </c>
      <c r="C279" s="176"/>
      <c r="D279" s="168" t="s">
        <v>143</v>
      </c>
      <c r="E279" s="125">
        <f>SUM(E280)+E281+E282+E283</f>
        <v>8903.1468577875094</v>
      </c>
      <c r="F279" s="125">
        <f t="shared" ref="F279:G279" si="90">SUM(F280)+F281+F282+F283</f>
        <v>19525</v>
      </c>
      <c r="G279" s="125">
        <f t="shared" si="90"/>
        <v>9767.2000000000007</v>
      </c>
      <c r="H279" s="79">
        <f t="shared" si="89"/>
        <v>123.65284998396886</v>
      </c>
      <c r="I279" s="79"/>
      <c r="J279" s="21"/>
    </row>
    <row r="280" spans="1:10" s="186" customFormat="1">
      <c r="A280" s="60"/>
      <c r="B280" s="48" t="s">
        <v>144</v>
      </c>
      <c r="C280" s="176"/>
      <c r="D280" s="164" t="s">
        <v>145</v>
      </c>
      <c r="E280" s="127">
        <f>50526.6/7.5345</f>
        <v>6706.032251642444</v>
      </c>
      <c r="F280" s="127">
        <f>2257+5972+500+10000</f>
        <v>18729</v>
      </c>
      <c r="G280" s="127">
        <v>8292.2000000000007</v>
      </c>
      <c r="H280" s="79">
        <f>SUM(G292/E292*100)</f>
        <v>31.213337772309991</v>
      </c>
      <c r="I280" s="79"/>
      <c r="J280" s="185"/>
    </row>
    <row r="281" spans="1:10" s="186" customFormat="1">
      <c r="A281" s="60"/>
      <c r="B281" s="48" t="s">
        <v>146</v>
      </c>
      <c r="C281" s="176"/>
      <c r="D281" s="164" t="s">
        <v>245</v>
      </c>
      <c r="E281" s="127">
        <f>4911.16/7.5345</f>
        <v>651.82294777357481</v>
      </c>
      <c r="F281" s="200"/>
      <c r="G281" s="127"/>
      <c r="H281" s="79"/>
      <c r="I281" s="79"/>
      <c r="J281" s="185"/>
    </row>
    <row r="282" spans="1:10" s="186" customFormat="1">
      <c r="A282" s="60"/>
      <c r="B282" s="48" t="s">
        <v>148</v>
      </c>
      <c r="C282" s="176"/>
      <c r="D282" s="164" t="s">
        <v>246</v>
      </c>
      <c r="E282" s="127">
        <f>11643/7.5345</f>
        <v>1545.2916583714912</v>
      </c>
      <c r="F282" s="127"/>
      <c r="G282" s="127">
        <v>1475</v>
      </c>
      <c r="H282" s="79"/>
      <c r="I282" s="79"/>
      <c r="J282" s="185"/>
    </row>
    <row r="283" spans="1:10" s="186" customFormat="1">
      <c r="A283" s="60"/>
      <c r="B283" s="48" t="s">
        <v>150</v>
      </c>
      <c r="C283" s="176"/>
      <c r="D283" s="164" t="s">
        <v>151</v>
      </c>
      <c r="E283" s="127"/>
      <c r="F283" s="127">
        <v>796</v>
      </c>
      <c r="G283" s="127"/>
      <c r="H283" s="79"/>
      <c r="I283" s="79"/>
      <c r="J283" s="185"/>
    </row>
    <row r="284" spans="1:10" s="186" customFormat="1">
      <c r="A284" s="60"/>
      <c r="B284" s="45" t="s">
        <v>154</v>
      </c>
      <c r="C284" s="176"/>
      <c r="D284" s="168" t="s">
        <v>155</v>
      </c>
      <c r="E284" s="177">
        <f>SUM(E285:E291)</f>
        <v>92517.232729444542</v>
      </c>
      <c r="F284" s="177">
        <f>SUM(F285:F291)</f>
        <v>96733</v>
      </c>
      <c r="G284" s="177">
        <f t="shared" ref="G284" si="91">SUM(G285:G291)</f>
        <v>73536.160000000003</v>
      </c>
      <c r="H284" s="79"/>
      <c r="I284" s="79"/>
      <c r="J284" s="201"/>
    </row>
    <row r="285" spans="1:10" s="186" customFormat="1">
      <c r="A285" s="60"/>
      <c r="B285" s="48" t="s">
        <v>156</v>
      </c>
      <c r="C285" s="176"/>
      <c r="D285" s="164" t="s">
        <v>247</v>
      </c>
      <c r="E285" s="127">
        <f>1503.4/7.5345</f>
        <v>199.53547017054882</v>
      </c>
      <c r="F285" s="127"/>
      <c r="G285" s="127"/>
      <c r="H285" s="79"/>
      <c r="I285" s="79"/>
      <c r="J285" s="185"/>
    </row>
    <row r="286" spans="1:10" s="186" customFormat="1">
      <c r="A286" s="60"/>
      <c r="B286" s="48" t="s">
        <v>158</v>
      </c>
      <c r="C286" s="176"/>
      <c r="D286" s="164" t="s">
        <v>248</v>
      </c>
      <c r="E286" s="127">
        <f>35000/7.5345</f>
        <v>4645.298294511912</v>
      </c>
      <c r="F286" s="127"/>
      <c r="G286" s="127"/>
      <c r="H286" s="79"/>
      <c r="I286" s="79"/>
      <c r="J286" s="185"/>
    </row>
    <row r="287" spans="1:10" s="186" customFormat="1">
      <c r="A287" s="60"/>
      <c r="B287" s="48" t="s">
        <v>160</v>
      </c>
      <c r="C287" s="176"/>
      <c r="D287" s="164" t="s">
        <v>249</v>
      </c>
      <c r="E287" s="127">
        <f>47285/7.5345</f>
        <v>6275.7979958855922</v>
      </c>
      <c r="F287" s="127">
        <f>5000+3000</f>
        <v>8000</v>
      </c>
      <c r="G287" s="127">
        <v>2447.5</v>
      </c>
      <c r="H287" s="79"/>
      <c r="I287" s="79"/>
      <c r="J287" s="185"/>
    </row>
    <row r="288" spans="1:10" s="186" customFormat="1">
      <c r="A288" s="60"/>
      <c r="B288" s="48" t="s">
        <v>164</v>
      </c>
      <c r="C288" s="176"/>
      <c r="D288" s="164" t="s">
        <v>165</v>
      </c>
      <c r="E288" s="127"/>
      <c r="F288" s="127">
        <v>9290</v>
      </c>
      <c r="G288" s="127">
        <v>14350.45</v>
      </c>
      <c r="H288" s="79"/>
      <c r="I288" s="79"/>
      <c r="J288" s="185"/>
    </row>
    <row r="289" spans="1:10" s="186" customFormat="1">
      <c r="A289" s="60"/>
      <c r="B289" s="48" t="s">
        <v>166</v>
      </c>
      <c r="C289" s="176"/>
      <c r="D289" s="164" t="s">
        <v>250</v>
      </c>
      <c r="E289" s="127">
        <f>220/7.5345</f>
        <v>29.199017851217729</v>
      </c>
      <c r="F289" s="127"/>
      <c r="G289" s="127"/>
      <c r="H289" s="79"/>
      <c r="I289" s="79"/>
      <c r="J289" s="185"/>
    </row>
    <row r="290" spans="1:10" s="186" customFormat="1">
      <c r="A290" s="60"/>
      <c r="B290" s="48" t="s">
        <v>168</v>
      </c>
      <c r="C290" s="176"/>
      <c r="D290" s="164" t="s">
        <v>169</v>
      </c>
      <c r="E290" s="127">
        <f>483781.44/7.5345</f>
        <v>64208.831375671907</v>
      </c>
      <c r="F290" s="127">
        <f>1000+59725+9000</f>
        <v>69725</v>
      </c>
      <c r="G290" s="127">
        <v>43583.75</v>
      </c>
      <c r="H290" s="79"/>
      <c r="I290" s="79"/>
      <c r="J290" s="185"/>
    </row>
    <row r="291" spans="1:10" s="186" customFormat="1">
      <c r="A291" s="60"/>
      <c r="B291" s="48" t="s">
        <v>172</v>
      </c>
      <c r="C291" s="176"/>
      <c r="D291" s="164" t="s">
        <v>173</v>
      </c>
      <c r="E291" s="127">
        <f>129281.25/7.5345</f>
        <v>17158.570575353373</v>
      </c>
      <c r="F291" s="127">
        <f>2844+4641+133+500+700+900</f>
        <v>9718</v>
      </c>
      <c r="G291" s="127">
        <v>13154.46</v>
      </c>
      <c r="H291" s="79"/>
      <c r="I291" s="79"/>
      <c r="J291" s="185"/>
    </row>
    <row r="292" spans="1:10" s="203" customFormat="1" ht="30">
      <c r="A292" s="60"/>
      <c r="B292" s="35">
        <v>324</v>
      </c>
      <c r="C292" s="176"/>
      <c r="D292" s="37" t="s">
        <v>251</v>
      </c>
      <c r="E292" s="125">
        <f>SUM(E293)</f>
        <v>6345.6526644103787</v>
      </c>
      <c r="F292" s="125">
        <f>SUM(F293)</f>
        <v>6367</v>
      </c>
      <c r="G292" s="125">
        <f>SUM(G293)</f>
        <v>1980.69</v>
      </c>
      <c r="H292" s="79">
        <f t="shared" si="89"/>
        <v>31.213337772309991</v>
      </c>
      <c r="I292" s="79"/>
      <c r="J292" s="202"/>
    </row>
    <row r="293" spans="1:10" s="203" customFormat="1" ht="30">
      <c r="A293" s="60"/>
      <c r="B293" s="48">
        <v>3241</v>
      </c>
      <c r="C293" s="176"/>
      <c r="D293" s="43" t="s">
        <v>251</v>
      </c>
      <c r="E293" s="127">
        <f>47811.32/7.5345</f>
        <v>6345.6526644103787</v>
      </c>
      <c r="F293" s="127">
        <f>1367+5000</f>
        <v>6367</v>
      </c>
      <c r="G293" s="127">
        <v>1980.69</v>
      </c>
      <c r="H293" s="130">
        <f>SUM(G316/E316*100)</f>
        <v>43.019090348216913</v>
      </c>
      <c r="I293" s="131"/>
      <c r="J293" s="202"/>
    </row>
    <row r="294" spans="1:10" s="203" customFormat="1">
      <c r="A294" s="60"/>
      <c r="B294" s="167" t="s">
        <v>178</v>
      </c>
      <c r="C294" s="204"/>
      <c r="D294" s="37" t="s">
        <v>179</v>
      </c>
      <c r="E294" s="205">
        <f>SUM(E295:E299)</f>
        <v>164797.9202335921</v>
      </c>
      <c r="F294" s="205">
        <f>SUM(F295:F299)</f>
        <v>78753</v>
      </c>
      <c r="G294" s="205">
        <f t="shared" ref="G294" si="92">SUM(G295:G299)</f>
        <v>9389.16</v>
      </c>
      <c r="H294" s="170"/>
      <c r="I294" s="206"/>
      <c r="J294" s="202"/>
    </row>
    <row r="295" spans="1:10" s="203" customFormat="1">
      <c r="A295" s="60"/>
      <c r="B295" s="48" t="s">
        <v>180</v>
      </c>
      <c r="C295" s="176"/>
      <c r="D295" s="43" t="s">
        <v>230</v>
      </c>
      <c r="E295" s="127">
        <f>1514.95/7.5345</f>
        <v>201.06841860773773</v>
      </c>
      <c r="F295" s="127"/>
      <c r="G295" s="127"/>
      <c r="H295" s="130"/>
      <c r="I295" s="131"/>
      <c r="J295" s="202"/>
    </row>
    <row r="296" spans="1:10" s="203" customFormat="1">
      <c r="A296" s="60"/>
      <c r="B296" s="48" t="s">
        <v>182</v>
      </c>
      <c r="C296" s="176"/>
      <c r="D296" s="43" t="s">
        <v>183</v>
      </c>
      <c r="E296" s="127">
        <f>30916.73/7.5345</f>
        <v>4103.3552325967212</v>
      </c>
      <c r="F296" s="127">
        <f>3000+39817+5400+12300</f>
        <v>60517</v>
      </c>
      <c r="G296" s="127">
        <v>4637.59</v>
      </c>
      <c r="H296" s="130"/>
      <c r="I296" s="131"/>
      <c r="J296" s="202"/>
    </row>
    <row r="297" spans="1:10" s="203" customFormat="1">
      <c r="A297" s="60"/>
      <c r="B297" s="48" t="s">
        <v>184</v>
      </c>
      <c r="C297" s="176"/>
      <c r="D297" s="43" t="s">
        <v>231</v>
      </c>
      <c r="E297" s="127">
        <f>1629.74/7.5345</f>
        <v>216.30366978565266</v>
      </c>
      <c r="F297" s="127"/>
      <c r="G297" s="127">
        <v>65</v>
      </c>
      <c r="H297" s="130"/>
      <c r="I297" s="131"/>
      <c r="J297" s="202"/>
    </row>
    <row r="298" spans="1:10" s="203" customFormat="1">
      <c r="A298" s="60"/>
      <c r="B298" s="48" t="s">
        <v>186</v>
      </c>
      <c r="C298" s="176"/>
      <c r="D298" s="43" t="s">
        <v>220</v>
      </c>
      <c r="E298" s="127">
        <f>954.87/7.5345</f>
        <v>126.73302807087397</v>
      </c>
      <c r="F298" s="127"/>
      <c r="G298" s="127"/>
      <c r="H298" s="130"/>
      <c r="I298" s="131"/>
      <c r="J298" s="202"/>
    </row>
    <row r="299" spans="1:10" s="203" customFormat="1">
      <c r="A299" s="60"/>
      <c r="B299" s="48" t="s">
        <v>190</v>
      </c>
      <c r="C299" s="176"/>
      <c r="D299" s="43" t="s">
        <v>179</v>
      </c>
      <c r="E299" s="127">
        <f>1206653.64/7.5345</f>
        <v>160150.45988453113</v>
      </c>
      <c r="F299" s="127">
        <f>1600+6636+10000</f>
        <v>18236</v>
      </c>
      <c r="G299" s="127">
        <v>4686.57</v>
      </c>
      <c r="H299" s="130"/>
      <c r="I299" s="131"/>
      <c r="J299" s="202"/>
    </row>
    <row r="300" spans="1:10" s="203" customFormat="1">
      <c r="A300" s="60"/>
      <c r="B300" s="106" t="s">
        <v>192</v>
      </c>
      <c r="C300" s="107"/>
      <c r="D300" s="108" t="s">
        <v>193</v>
      </c>
      <c r="E300" s="109">
        <f>E301</f>
        <v>2581.03391067755</v>
      </c>
      <c r="F300" s="109">
        <f>F301</f>
        <v>0</v>
      </c>
      <c r="G300" s="109">
        <f t="shared" ref="G300" si="93">G301</f>
        <v>44.83</v>
      </c>
      <c r="H300" s="110">
        <f>G300/E300*100</f>
        <v>1.7369008525824299</v>
      </c>
      <c r="I300" s="110" t="e">
        <f>G300/F300*100</f>
        <v>#DIV/0!</v>
      </c>
      <c r="J300" s="202"/>
    </row>
    <row r="301" spans="1:10" s="203" customFormat="1">
      <c r="A301" s="60"/>
      <c r="B301" s="45" t="s">
        <v>194</v>
      </c>
      <c r="C301" s="176"/>
      <c r="D301" s="43" t="s">
        <v>195</v>
      </c>
      <c r="E301" s="127">
        <f>E302+E303+E304</f>
        <v>2581.03391067755</v>
      </c>
      <c r="F301" s="127">
        <f>F302+F303+F304</f>
        <v>0</v>
      </c>
      <c r="G301" s="127">
        <f t="shared" ref="G301" si="94">G302+G303+G304</f>
        <v>44.83</v>
      </c>
      <c r="H301" s="130"/>
      <c r="I301" s="131"/>
      <c r="J301" s="202"/>
    </row>
    <row r="302" spans="1:10" s="203" customFormat="1">
      <c r="A302" s="60"/>
      <c r="B302" s="48" t="s">
        <v>196</v>
      </c>
      <c r="C302" s="176"/>
      <c r="D302" s="43" t="s">
        <v>197</v>
      </c>
      <c r="E302" s="127">
        <f>4497/7.5345</f>
        <v>596.85446944057333</v>
      </c>
      <c r="F302" s="127"/>
      <c r="G302" s="127">
        <v>26.54</v>
      </c>
      <c r="H302" s="130"/>
      <c r="I302" s="131"/>
      <c r="J302" s="202"/>
    </row>
    <row r="303" spans="1:10" s="203" customFormat="1">
      <c r="A303" s="60"/>
      <c r="B303" s="48" t="s">
        <v>198</v>
      </c>
      <c r="C303" s="176"/>
      <c r="D303" s="43" t="s">
        <v>233</v>
      </c>
      <c r="E303" s="127">
        <f>14949.5/7.5345</f>
        <v>1984.1396243944521</v>
      </c>
      <c r="F303" s="127"/>
      <c r="G303" s="127">
        <v>18.29</v>
      </c>
      <c r="H303" s="130"/>
      <c r="I303" s="131"/>
      <c r="J303" s="202"/>
    </row>
    <row r="304" spans="1:10" s="203" customFormat="1">
      <c r="A304" s="60"/>
      <c r="B304" s="48" t="s">
        <v>202</v>
      </c>
      <c r="C304" s="176"/>
      <c r="D304" s="43" t="s">
        <v>203</v>
      </c>
      <c r="E304" s="127">
        <f>0.3/7.5345</f>
        <v>3.9816842524387809E-2</v>
      </c>
      <c r="F304" s="127"/>
      <c r="G304" s="127"/>
      <c r="H304" s="130"/>
      <c r="I304" s="131"/>
      <c r="J304" s="202"/>
    </row>
    <row r="305" spans="1:10" s="203" customFormat="1">
      <c r="A305" s="60"/>
      <c r="B305" s="106" t="s">
        <v>204</v>
      </c>
      <c r="C305" s="107"/>
      <c r="D305" s="108" t="s">
        <v>205</v>
      </c>
      <c r="E305" s="109">
        <f>E306+E308</f>
        <v>602251.39159864606</v>
      </c>
      <c r="F305" s="109">
        <f t="shared" ref="F305:G305" si="95">F306+F308</f>
        <v>46486</v>
      </c>
      <c r="G305" s="109">
        <f t="shared" si="95"/>
        <v>296261.69</v>
      </c>
      <c r="H305" s="110">
        <f>G305/E305*100</f>
        <v>49.19236287916052</v>
      </c>
      <c r="I305" s="110">
        <f>G305/F305*100</f>
        <v>637.31379340016349</v>
      </c>
      <c r="J305" s="202"/>
    </row>
    <row r="306" spans="1:10" s="203" customFormat="1">
      <c r="A306" s="60"/>
      <c r="B306" s="45" t="s">
        <v>252</v>
      </c>
      <c r="C306" s="176"/>
      <c r="D306" s="43" t="s">
        <v>253</v>
      </c>
      <c r="E306" s="177">
        <f>E307</f>
        <v>17429.364921361732</v>
      </c>
      <c r="F306" s="177">
        <f>F307</f>
        <v>0</v>
      </c>
      <c r="G306" s="177">
        <f>G307</f>
        <v>0</v>
      </c>
      <c r="H306" s="130"/>
      <c r="I306" s="131"/>
      <c r="J306" s="202"/>
    </row>
    <row r="307" spans="1:10" s="203" customFormat="1">
      <c r="A307" s="60"/>
      <c r="B307" s="48" t="s">
        <v>254</v>
      </c>
      <c r="C307" s="176"/>
      <c r="D307" s="43" t="s">
        <v>255</v>
      </c>
      <c r="E307" s="127">
        <f>131321.55/7.5345</f>
        <v>17429.364921361732</v>
      </c>
      <c r="F307" s="127"/>
      <c r="G307" s="127"/>
      <c r="H307" s="130"/>
      <c r="I307" s="131"/>
      <c r="J307" s="202"/>
    </row>
    <row r="308" spans="1:10" s="203" customFormat="1" ht="30">
      <c r="A308" s="60"/>
      <c r="B308" s="45" t="s">
        <v>206</v>
      </c>
      <c r="C308" s="176"/>
      <c r="D308" s="43" t="s">
        <v>57</v>
      </c>
      <c r="E308" s="177">
        <f>E309+E310</f>
        <v>584822.02667728439</v>
      </c>
      <c r="F308" s="177">
        <f>F309+F310</f>
        <v>46486</v>
      </c>
      <c r="G308" s="177">
        <f>G309+G310</f>
        <v>296261.69</v>
      </c>
      <c r="H308" s="130"/>
      <c r="I308" s="131"/>
      <c r="J308" s="202"/>
    </row>
    <row r="309" spans="1:10" s="203" customFormat="1" ht="30">
      <c r="A309" s="60"/>
      <c r="B309" s="48" t="s">
        <v>207</v>
      </c>
      <c r="C309" s="176"/>
      <c r="D309" s="43" t="s">
        <v>59</v>
      </c>
      <c r="E309" s="127">
        <f>165289.07/7.5345</f>
        <v>21937.629570641715</v>
      </c>
      <c r="F309" s="127"/>
      <c r="G309" s="127">
        <v>18462.37</v>
      </c>
      <c r="H309" s="130"/>
      <c r="I309" s="131"/>
      <c r="J309" s="202"/>
    </row>
    <row r="310" spans="1:10" s="203" customFormat="1" ht="45">
      <c r="A310" s="60"/>
      <c r="B310" s="48" t="s">
        <v>256</v>
      </c>
      <c r="C310" s="176"/>
      <c r="D310" s="43" t="s">
        <v>61</v>
      </c>
      <c r="E310" s="127">
        <f>4241052.49/7.5345</f>
        <v>562884.39710664272</v>
      </c>
      <c r="F310" s="127">
        <v>46486</v>
      </c>
      <c r="G310" s="127">
        <v>277799.32</v>
      </c>
      <c r="H310" s="130"/>
      <c r="I310" s="131"/>
      <c r="J310" s="202"/>
    </row>
    <row r="311" spans="1:10" s="203" customFormat="1">
      <c r="A311" s="60"/>
      <c r="B311" s="106" t="s">
        <v>209</v>
      </c>
      <c r="C311" s="107"/>
      <c r="D311" s="108" t="s">
        <v>210</v>
      </c>
      <c r="E311" s="184">
        <f>E312</f>
        <v>538327.35947972653</v>
      </c>
      <c r="F311" s="184">
        <f>F312</f>
        <v>829952</v>
      </c>
      <c r="G311" s="109">
        <f>G312</f>
        <v>216810.22</v>
      </c>
      <c r="H311" s="110">
        <f>G311/E311*100</f>
        <v>40.274791199455116</v>
      </c>
      <c r="I311" s="110">
        <f>G311/F311*100</f>
        <v>26.123223993676742</v>
      </c>
      <c r="J311" s="202"/>
    </row>
    <row r="312" spans="1:10" s="160" customFormat="1" ht="30">
      <c r="A312" s="118"/>
      <c r="B312" s="45" t="s">
        <v>211</v>
      </c>
      <c r="C312" s="51"/>
      <c r="D312" s="37" t="s">
        <v>212</v>
      </c>
      <c r="E312" s="177">
        <f>E314+E315+E313</f>
        <v>538327.35947972653</v>
      </c>
      <c r="F312" s="177">
        <f>F314+F315+F313</f>
        <v>829952</v>
      </c>
      <c r="G312" s="177">
        <f>G314+G315+G313</f>
        <v>216810.22</v>
      </c>
      <c r="H312" s="170"/>
      <c r="I312" s="206"/>
      <c r="J312" s="159"/>
    </row>
    <row r="313" spans="1:10" s="203" customFormat="1">
      <c r="A313" s="60"/>
      <c r="B313" s="48" t="s">
        <v>213</v>
      </c>
      <c r="C313" s="176"/>
      <c r="D313" s="43" t="s">
        <v>214</v>
      </c>
      <c r="E313" s="127">
        <v>0</v>
      </c>
      <c r="F313" s="127">
        <v>1327</v>
      </c>
      <c r="G313" s="127"/>
      <c r="H313" s="130"/>
      <c r="I313" s="131"/>
      <c r="J313" s="202"/>
    </row>
    <row r="314" spans="1:10" s="203" customFormat="1">
      <c r="A314" s="60"/>
      <c r="B314" s="48" t="s">
        <v>257</v>
      </c>
      <c r="C314" s="176"/>
      <c r="D314" s="43" t="s">
        <v>258</v>
      </c>
      <c r="E314" s="127">
        <f>604578/7.5345</f>
        <v>80241.290065697787</v>
      </c>
      <c r="F314" s="127">
        <v>46453</v>
      </c>
      <c r="G314" s="127">
        <v>47101.62</v>
      </c>
      <c r="H314" s="130"/>
      <c r="I314" s="131"/>
      <c r="J314" s="202"/>
    </row>
    <row r="315" spans="1:10" s="203" customFormat="1" ht="30">
      <c r="A315" s="60"/>
      <c r="B315" s="48" t="s">
        <v>259</v>
      </c>
      <c r="C315" s="176"/>
      <c r="D315" s="43" t="s">
        <v>260</v>
      </c>
      <c r="E315" s="127">
        <f>3451449.49/7.5345</f>
        <v>458086.06941402878</v>
      </c>
      <c r="F315" s="127">
        <f>13272+238900+90000+440000</f>
        <v>782172</v>
      </c>
      <c r="G315" s="127">
        <v>169708.6</v>
      </c>
      <c r="H315" s="130"/>
      <c r="I315" s="131"/>
      <c r="J315" s="202"/>
    </row>
    <row r="316" spans="1:10" s="59" customFormat="1">
      <c r="A316" s="138"/>
      <c r="B316" s="54"/>
      <c r="C316" s="139">
        <v>52</v>
      </c>
      <c r="D316" s="140" t="s">
        <v>261</v>
      </c>
      <c r="E316" s="141">
        <f>E267+E274+E300+E305+E311</f>
        <v>1739416.486827261</v>
      </c>
      <c r="F316" s="141">
        <f>F267+F274+F300+F305+F311</f>
        <v>1408606</v>
      </c>
      <c r="G316" s="141">
        <f>G267+G274+G300+G305+G311</f>
        <v>748281.15</v>
      </c>
      <c r="H316" s="142">
        <f>G316/E316*100</f>
        <v>43.019090348216913</v>
      </c>
      <c r="I316" s="142">
        <f>G316/F316*100</f>
        <v>53.122104406768109</v>
      </c>
      <c r="J316" s="58"/>
    </row>
    <row r="317" spans="1:10" s="186" customFormat="1">
      <c r="A317" s="60"/>
      <c r="B317" s="207" t="s">
        <v>84</v>
      </c>
      <c r="C317" s="208"/>
      <c r="D317" s="190" t="s">
        <v>120</v>
      </c>
      <c r="E317" s="209">
        <f>E318+E320+E322</f>
        <v>265.44561682925212</v>
      </c>
      <c r="F317" s="209">
        <f t="shared" ref="F317:G317" si="96">F318+F320+F322</f>
        <v>0</v>
      </c>
      <c r="G317" s="209">
        <f t="shared" si="96"/>
        <v>4561.5</v>
      </c>
      <c r="H317" s="110">
        <f>G317/E317*100</f>
        <v>1718.4310874999999</v>
      </c>
      <c r="I317" s="110" t="e">
        <f>G317/F317*100</f>
        <v>#DIV/0!</v>
      </c>
      <c r="J317" s="185"/>
    </row>
    <row r="318" spans="1:10" s="186" customFormat="1">
      <c r="A318" s="60"/>
      <c r="B318" s="151" t="s">
        <v>222</v>
      </c>
      <c r="C318" s="60"/>
      <c r="D318" s="152" t="s">
        <v>121</v>
      </c>
      <c r="E318" s="158">
        <f>E319</f>
        <v>0</v>
      </c>
      <c r="F318" s="158">
        <f t="shared" ref="F318:G318" si="97">F319</f>
        <v>0</v>
      </c>
      <c r="G318" s="158">
        <f t="shared" si="97"/>
        <v>4115.66</v>
      </c>
      <c r="H318" s="154"/>
      <c r="I318" s="154"/>
      <c r="J318" s="185"/>
    </row>
    <row r="319" spans="1:10" s="186" customFormat="1">
      <c r="A319" s="60"/>
      <c r="B319" s="151" t="s">
        <v>223</v>
      </c>
      <c r="C319" s="60"/>
      <c r="D319" s="152" t="s">
        <v>122</v>
      </c>
      <c r="E319" s="158"/>
      <c r="F319" s="158"/>
      <c r="G319" s="158">
        <v>4115.66</v>
      </c>
      <c r="H319" s="154"/>
      <c r="I319" s="154"/>
      <c r="J319" s="185"/>
    </row>
    <row r="320" spans="1:10" s="203" customFormat="1">
      <c r="A320" s="115"/>
      <c r="B320" s="173">
        <v>312</v>
      </c>
      <c r="C320" s="49"/>
      <c r="D320" s="164" t="s">
        <v>128</v>
      </c>
      <c r="E320" s="210">
        <f>E321</f>
        <v>265.44561682925212</v>
      </c>
      <c r="F320" s="210">
        <f t="shared" ref="F320:G320" si="98">F321</f>
        <v>0</v>
      </c>
      <c r="G320" s="210">
        <f t="shared" si="98"/>
        <v>0</v>
      </c>
      <c r="H320" s="79"/>
      <c r="I320" s="131"/>
      <c r="J320" s="202"/>
    </row>
    <row r="321" spans="1:10" s="203" customFormat="1">
      <c r="A321" s="115"/>
      <c r="B321" s="179">
        <v>3121</v>
      </c>
      <c r="C321" s="49"/>
      <c r="D321" s="164" t="s">
        <v>128</v>
      </c>
      <c r="E321" s="75">
        <f>2000/7.5345</f>
        <v>265.44561682925212</v>
      </c>
      <c r="F321" s="75"/>
      <c r="G321" s="75"/>
      <c r="H321" s="79"/>
      <c r="I321" s="131"/>
      <c r="J321" s="202"/>
    </row>
    <row r="322" spans="1:10" s="160" customFormat="1">
      <c r="A322" s="118"/>
      <c r="B322" s="173">
        <v>313</v>
      </c>
      <c r="C322" s="51"/>
      <c r="D322" s="168" t="s">
        <v>131</v>
      </c>
      <c r="E322" s="210">
        <f>E323</f>
        <v>0</v>
      </c>
      <c r="F322" s="210">
        <f t="shared" ref="F322:G322" si="99">F323</f>
        <v>0</v>
      </c>
      <c r="G322" s="210">
        <f t="shared" si="99"/>
        <v>445.84</v>
      </c>
      <c r="H322" s="121"/>
      <c r="I322" s="206"/>
      <c r="J322" s="159"/>
    </row>
    <row r="323" spans="1:10" s="203" customFormat="1">
      <c r="A323" s="115"/>
      <c r="B323" s="179">
        <v>3132</v>
      </c>
      <c r="C323" s="49"/>
      <c r="D323" s="164" t="s">
        <v>132</v>
      </c>
      <c r="E323" s="75"/>
      <c r="F323" s="75"/>
      <c r="G323" s="75">
        <v>445.84</v>
      </c>
      <c r="H323" s="79"/>
      <c r="I323" s="131"/>
      <c r="J323" s="202"/>
    </row>
    <row r="324" spans="1:10" s="203" customFormat="1">
      <c r="A324" s="115"/>
      <c r="B324" s="106" t="s">
        <v>226</v>
      </c>
      <c r="C324" s="107"/>
      <c r="D324" s="108" t="s">
        <v>134</v>
      </c>
      <c r="E324" s="109">
        <f>E329+E325</f>
        <v>5989.4432278187005</v>
      </c>
      <c r="F324" s="109">
        <f t="shared" ref="F324:G324" si="100">F329+F325</f>
        <v>0</v>
      </c>
      <c r="G324" s="109">
        <f t="shared" si="100"/>
        <v>4958.91</v>
      </c>
      <c r="H324" s="110">
        <f>G324/E324*100</f>
        <v>82.794173204075747</v>
      </c>
      <c r="I324" s="110" t="e">
        <f>G324/F324*100</f>
        <v>#DIV/0!</v>
      </c>
      <c r="J324" s="202"/>
    </row>
    <row r="325" spans="1:10" s="203" customFormat="1">
      <c r="A325" s="115"/>
      <c r="B325" s="151" t="s">
        <v>227</v>
      </c>
      <c r="C325" s="60"/>
      <c r="D325" s="152" t="s">
        <v>135</v>
      </c>
      <c r="E325" s="153">
        <f>E326+E327</f>
        <v>2315.0321852810407</v>
      </c>
      <c r="F325" s="153">
        <f t="shared" ref="F325:G325" si="101">F326+F327</f>
        <v>0</v>
      </c>
      <c r="G325" s="153">
        <f t="shared" si="101"/>
        <v>3125.24</v>
      </c>
      <c r="H325" s="154"/>
      <c r="I325" s="154"/>
      <c r="J325" s="202"/>
    </row>
    <row r="326" spans="1:10" s="212" customFormat="1">
      <c r="A326" s="211"/>
      <c r="B326" s="155" t="s">
        <v>136</v>
      </c>
      <c r="C326" s="211"/>
      <c r="D326" s="174" t="s">
        <v>137</v>
      </c>
      <c r="E326" s="70">
        <f>17442.61/7.5345</f>
        <v>2315.0321852810407</v>
      </c>
      <c r="F326" s="70"/>
      <c r="G326" s="70">
        <v>2839.49</v>
      </c>
      <c r="H326" s="175"/>
      <c r="I326" s="175"/>
      <c r="J326" s="201"/>
    </row>
    <row r="327" spans="1:10" s="212" customFormat="1">
      <c r="A327" s="211"/>
      <c r="B327" s="155" t="s">
        <v>138</v>
      </c>
      <c r="C327" s="211"/>
      <c r="D327" s="174" t="s">
        <v>139</v>
      </c>
      <c r="E327" s="70"/>
      <c r="F327" s="70"/>
      <c r="G327" s="70">
        <v>285.75</v>
      </c>
      <c r="H327" s="175"/>
      <c r="I327" s="175"/>
      <c r="J327" s="201"/>
    </row>
    <row r="328" spans="1:10" s="203" customFormat="1">
      <c r="A328" s="115"/>
      <c r="B328" s="151" t="s">
        <v>154</v>
      </c>
      <c r="C328" s="60"/>
      <c r="D328" s="152" t="s">
        <v>155</v>
      </c>
      <c r="E328" s="153">
        <f>E329</f>
        <v>3674.4110425376598</v>
      </c>
      <c r="F328" s="153">
        <f t="shared" ref="F328:G328" si="102">F329</f>
        <v>0</v>
      </c>
      <c r="G328" s="153">
        <f t="shared" si="102"/>
        <v>1833.67</v>
      </c>
      <c r="H328" s="154"/>
      <c r="I328" s="154"/>
      <c r="J328" s="202"/>
    </row>
    <row r="329" spans="1:10" s="203" customFormat="1">
      <c r="A329" s="115"/>
      <c r="B329" s="179">
        <v>3237</v>
      </c>
      <c r="C329" s="49"/>
      <c r="D329" s="164" t="s">
        <v>169</v>
      </c>
      <c r="E329" s="75">
        <f>27684.85/7.5345</f>
        <v>3674.4110425376598</v>
      </c>
      <c r="F329" s="75"/>
      <c r="G329" s="75">
        <v>1833.67</v>
      </c>
      <c r="H329" s="79"/>
      <c r="I329" s="131"/>
      <c r="J329" s="202"/>
    </row>
    <row r="330" spans="1:10" s="160" customFormat="1">
      <c r="A330" s="118"/>
      <c r="B330" s="106" t="s">
        <v>192</v>
      </c>
      <c r="C330" s="107"/>
      <c r="D330" s="108" t="s">
        <v>193</v>
      </c>
      <c r="E330" s="109">
        <f>E331</f>
        <v>118.71126153029397</v>
      </c>
      <c r="F330" s="109">
        <f t="shared" ref="F330:G330" si="103">F331</f>
        <v>0</v>
      </c>
      <c r="G330" s="109">
        <f t="shared" si="103"/>
        <v>21</v>
      </c>
      <c r="H330" s="110">
        <f>G330/E330*100</f>
        <v>17.689981328891026</v>
      </c>
      <c r="I330" s="110" t="e">
        <f>G330/F330*100</f>
        <v>#DIV/0!</v>
      </c>
      <c r="J330" s="159"/>
    </row>
    <row r="331" spans="1:10" s="160" customFormat="1">
      <c r="A331" s="118"/>
      <c r="B331" s="173">
        <v>343</v>
      </c>
      <c r="C331" s="51"/>
      <c r="D331" s="168" t="s">
        <v>195</v>
      </c>
      <c r="E331" s="210">
        <f>E332+E333</f>
        <v>118.71126153029397</v>
      </c>
      <c r="F331" s="210">
        <f t="shared" ref="F331:G331" si="104">F332+F333</f>
        <v>0</v>
      </c>
      <c r="G331" s="210">
        <f t="shared" si="104"/>
        <v>21</v>
      </c>
      <c r="H331" s="121"/>
      <c r="I331" s="206"/>
      <c r="J331" s="159"/>
    </row>
    <row r="332" spans="1:10" s="203" customFormat="1">
      <c r="A332" s="115"/>
      <c r="B332" s="179">
        <v>3431</v>
      </c>
      <c r="C332" s="49"/>
      <c r="D332" s="164" t="s">
        <v>197</v>
      </c>
      <c r="E332" s="75">
        <f>15.39/7.5345</f>
        <v>2.042604021501095</v>
      </c>
      <c r="F332" s="75"/>
      <c r="G332" s="75">
        <v>21</v>
      </c>
      <c r="H332" s="79"/>
      <c r="I332" s="131"/>
      <c r="J332" s="202"/>
    </row>
    <row r="333" spans="1:10" s="203" customFormat="1">
      <c r="A333" s="115"/>
      <c r="B333" s="179">
        <v>3432</v>
      </c>
      <c r="C333" s="49"/>
      <c r="D333" s="213" t="s">
        <v>199</v>
      </c>
      <c r="E333" s="75">
        <f>879.04/7.5345</f>
        <v>116.66865750879288</v>
      </c>
      <c r="F333" s="75"/>
      <c r="G333" s="75"/>
      <c r="H333" s="79"/>
      <c r="I333" s="131"/>
      <c r="J333" s="202"/>
    </row>
    <row r="334" spans="1:10" s="144" customFormat="1">
      <c r="A334" s="214"/>
      <c r="B334" s="215"/>
      <c r="C334" s="139" t="s">
        <v>262</v>
      </c>
      <c r="D334" s="140" t="s">
        <v>109</v>
      </c>
      <c r="E334" s="141">
        <f>E317+E324+E330</f>
        <v>6373.6001061782463</v>
      </c>
      <c r="F334" s="141">
        <f>F317+F324+F330</f>
        <v>0</v>
      </c>
      <c r="G334" s="141">
        <f>G317+G324+G330</f>
        <v>9541.41</v>
      </c>
      <c r="H334" s="142">
        <f>G334/E334*100</f>
        <v>149.70204972149159</v>
      </c>
      <c r="I334" s="142" t="e">
        <f>G334/F334*100</f>
        <v>#DIV/0!</v>
      </c>
      <c r="J334" s="143"/>
    </row>
    <row r="335" spans="1:10" s="203" customFormat="1">
      <c r="A335" s="115"/>
      <c r="B335" s="106" t="s">
        <v>84</v>
      </c>
      <c r="C335" s="107"/>
      <c r="D335" s="108" t="s">
        <v>120</v>
      </c>
      <c r="E335" s="109">
        <f>E336+E338</f>
        <v>18782.237706549869</v>
      </c>
      <c r="F335" s="109">
        <f>F336+F338</f>
        <v>103000</v>
      </c>
      <c r="G335" s="109">
        <f>G336+G338</f>
        <v>10100.19</v>
      </c>
      <c r="H335" s="110">
        <f>G335/E335*100</f>
        <v>53.775221876133507</v>
      </c>
      <c r="I335" s="110">
        <f>G335/F335*100</f>
        <v>9.8060097087378644</v>
      </c>
      <c r="J335" s="202"/>
    </row>
    <row r="336" spans="1:10" s="160" customFormat="1">
      <c r="A336" s="118"/>
      <c r="B336" s="173">
        <v>311</v>
      </c>
      <c r="C336" s="51"/>
      <c r="D336" s="168" t="s">
        <v>121</v>
      </c>
      <c r="E336" s="210">
        <f>E337</f>
        <v>16122.093038688698</v>
      </c>
      <c r="F336" s="210">
        <f>F337</f>
        <v>85919</v>
      </c>
      <c r="G336" s="210">
        <f>G337</f>
        <v>8669.69</v>
      </c>
      <c r="H336" s="121"/>
      <c r="I336" s="206"/>
      <c r="J336" s="159"/>
    </row>
    <row r="337" spans="1:10" s="203" customFormat="1">
      <c r="A337" s="115"/>
      <c r="B337" s="179">
        <v>3111</v>
      </c>
      <c r="C337" s="49"/>
      <c r="D337" s="164" t="s">
        <v>122</v>
      </c>
      <c r="E337" s="75">
        <f>121471.91/7.5345</f>
        <v>16122.093038688698</v>
      </c>
      <c r="F337" s="75">
        <v>85919</v>
      </c>
      <c r="G337" s="75">
        <v>8669.69</v>
      </c>
      <c r="H337" s="79"/>
      <c r="I337" s="131"/>
      <c r="J337" s="202"/>
    </row>
    <row r="338" spans="1:10" s="160" customFormat="1">
      <c r="A338" s="118"/>
      <c r="B338" s="173">
        <v>313</v>
      </c>
      <c r="C338" s="51"/>
      <c r="D338" s="168" t="s">
        <v>131</v>
      </c>
      <c r="E338" s="210">
        <f>E339</f>
        <v>2660.1446678611719</v>
      </c>
      <c r="F338" s="210">
        <f>F339</f>
        <v>17081</v>
      </c>
      <c r="G338" s="210">
        <f>G339</f>
        <v>1430.5</v>
      </c>
      <c r="H338" s="121"/>
      <c r="I338" s="206"/>
      <c r="J338" s="159"/>
    </row>
    <row r="339" spans="1:10" s="203" customFormat="1">
      <c r="A339" s="115"/>
      <c r="B339" s="179">
        <v>3132</v>
      </c>
      <c r="C339" s="49"/>
      <c r="D339" s="164" t="s">
        <v>132</v>
      </c>
      <c r="E339" s="75">
        <f>20042.86/7.5345</f>
        <v>2660.1446678611719</v>
      </c>
      <c r="F339" s="75">
        <v>17081</v>
      </c>
      <c r="G339" s="75">
        <v>1430.5</v>
      </c>
      <c r="H339" s="79"/>
      <c r="I339" s="131"/>
      <c r="J339" s="202"/>
    </row>
    <row r="340" spans="1:10" s="203" customFormat="1">
      <c r="A340" s="115"/>
      <c r="B340" s="106" t="s">
        <v>226</v>
      </c>
      <c r="C340" s="107"/>
      <c r="D340" s="108" t="s">
        <v>134</v>
      </c>
      <c r="E340" s="109">
        <f>E341+E344+E347+E353</f>
        <v>152539.61244939943</v>
      </c>
      <c r="F340" s="109">
        <f>F341+F344+F347+F353</f>
        <v>133036</v>
      </c>
      <c r="G340" s="109">
        <f t="shared" ref="G340" si="105">G341+G344+G347+G353</f>
        <v>48596.950000000004</v>
      </c>
      <c r="H340" s="110">
        <f>G340/E340*100</f>
        <v>31.858577073624485</v>
      </c>
      <c r="I340" s="110">
        <f>G340/F340*100</f>
        <v>36.529172554797199</v>
      </c>
      <c r="J340" s="202"/>
    </row>
    <row r="341" spans="1:10" s="160" customFormat="1">
      <c r="A341" s="118"/>
      <c r="B341" s="173">
        <v>321</v>
      </c>
      <c r="C341" s="51"/>
      <c r="D341" s="168" t="s">
        <v>135</v>
      </c>
      <c r="E341" s="210">
        <f>E342+E343</f>
        <v>2532.8820757847234</v>
      </c>
      <c r="F341" s="210">
        <f t="shared" ref="F341:G341" si="106">F342+F343</f>
        <v>6636</v>
      </c>
      <c r="G341" s="210">
        <f t="shared" si="106"/>
        <v>5383.1399999999994</v>
      </c>
      <c r="H341" s="121"/>
      <c r="I341" s="206"/>
      <c r="J341" s="159"/>
    </row>
    <row r="342" spans="1:10" s="203" customFormat="1">
      <c r="A342" s="115"/>
      <c r="B342" s="179">
        <v>3211</v>
      </c>
      <c r="C342" s="49"/>
      <c r="D342" s="164" t="s">
        <v>137</v>
      </c>
      <c r="E342" s="75">
        <f>10179/7.5345</f>
        <v>1350.9854668524786</v>
      </c>
      <c r="F342" s="75">
        <v>6636</v>
      </c>
      <c r="G342" s="75">
        <v>3873.14</v>
      </c>
      <c r="H342" s="79"/>
      <c r="I342" s="131"/>
      <c r="J342" s="202"/>
    </row>
    <row r="343" spans="1:10" s="203" customFormat="1">
      <c r="A343" s="115"/>
      <c r="B343" s="179">
        <v>3213</v>
      </c>
      <c r="C343" s="49"/>
      <c r="D343" s="164" t="s">
        <v>228</v>
      </c>
      <c r="E343" s="75">
        <f>8905/7.5345</f>
        <v>1181.896608932245</v>
      </c>
      <c r="F343" s="75"/>
      <c r="G343" s="75">
        <v>1510</v>
      </c>
      <c r="H343" s="79"/>
      <c r="I343" s="131"/>
      <c r="J343" s="202"/>
    </row>
    <row r="344" spans="1:10" s="160" customFormat="1">
      <c r="A344" s="118"/>
      <c r="B344" s="173">
        <v>322</v>
      </c>
      <c r="C344" s="51"/>
      <c r="D344" s="168" t="s">
        <v>143</v>
      </c>
      <c r="E344" s="210">
        <f>E345+E346</f>
        <v>64736.46957329617</v>
      </c>
      <c r="F344" s="210">
        <f>F345+F346</f>
        <v>50000</v>
      </c>
      <c r="G344" s="210">
        <f>G345+G346</f>
        <v>1833.69</v>
      </c>
      <c r="H344" s="121"/>
      <c r="I344" s="206"/>
      <c r="J344" s="159"/>
    </row>
    <row r="345" spans="1:10" s="203" customFormat="1">
      <c r="A345" s="115"/>
      <c r="B345" s="179">
        <v>3221</v>
      </c>
      <c r="C345" s="49"/>
      <c r="D345" s="164" t="s">
        <v>145</v>
      </c>
      <c r="E345" s="75">
        <f>485236.93/7.5345</f>
        <v>64402.008096091311</v>
      </c>
      <c r="F345" s="75">
        <v>50000</v>
      </c>
      <c r="G345" s="75">
        <v>1833.69</v>
      </c>
      <c r="H345" s="79"/>
      <c r="I345" s="131"/>
      <c r="J345" s="202"/>
    </row>
    <row r="346" spans="1:10" s="203" customFormat="1">
      <c r="A346" s="115"/>
      <c r="B346" s="179">
        <v>3222</v>
      </c>
      <c r="C346" s="49"/>
      <c r="D346" s="164" t="s">
        <v>263</v>
      </c>
      <c r="E346" s="75">
        <f>2520/7.5345</f>
        <v>334.46147720485766</v>
      </c>
      <c r="F346" s="75"/>
      <c r="G346" s="75"/>
      <c r="H346" s="79"/>
      <c r="I346" s="131"/>
      <c r="J346" s="202"/>
    </row>
    <row r="347" spans="1:10" s="160" customFormat="1">
      <c r="A347" s="118"/>
      <c r="B347" s="173">
        <v>323</v>
      </c>
      <c r="C347" s="51"/>
      <c r="D347" s="168" t="s">
        <v>155</v>
      </c>
      <c r="E347" s="210">
        <f>E348+E349+E350+E351+E352</f>
        <v>85117.032318003839</v>
      </c>
      <c r="F347" s="210">
        <f>F348+F349+F350+F351+F352</f>
        <v>76400</v>
      </c>
      <c r="G347" s="210">
        <f>G348+G349+G350+G351+G352</f>
        <v>41380.120000000003</v>
      </c>
      <c r="H347" s="121"/>
      <c r="I347" s="206"/>
      <c r="J347" s="159"/>
    </row>
    <row r="348" spans="1:10" s="203" customFormat="1">
      <c r="A348" s="115"/>
      <c r="B348" s="179">
        <v>3232</v>
      </c>
      <c r="C348" s="49"/>
      <c r="D348" s="164" t="s">
        <v>159</v>
      </c>
      <c r="E348" s="75">
        <f>190734.68/7.5345</f>
        <v>25314.842391665006</v>
      </c>
      <c r="F348" s="75">
        <v>26545</v>
      </c>
      <c r="G348" s="75">
        <v>13584.2</v>
      </c>
      <c r="H348" s="79"/>
      <c r="I348" s="131"/>
      <c r="J348" s="202"/>
    </row>
    <row r="349" spans="1:10" s="203" customFormat="1">
      <c r="A349" s="115"/>
      <c r="B349" s="179">
        <v>3233</v>
      </c>
      <c r="C349" s="49"/>
      <c r="D349" s="164" t="s">
        <v>161</v>
      </c>
      <c r="E349" s="75">
        <f>59917.51/7.5345</f>
        <v>7952.4202004114404</v>
      </c>
      <c r="F349" s="75">
        <v>10618</v>
      </c>
      <c r="G349" s="75"/>
      <c r="H349" s="79"/>
      <c r="I349" s="131"/>
      <c r="J349" s="202"/>
    </row>
    <row r="350" spans="1:10" s="203" customFormat="1">
      <c r="A350" s="115"/>
      <c r="B350" s="179">
        <v>3237</v>
      </c>
      <c r="C350" s="49"/>
      <c r="D350" s="164" t="s">
        <v>169</v>
      </c>
      <c r="E350" s="75">
        <f>253850.04/7.5345</f>
        <v>33691.690224965161</v>
      </c>
      <c r="F350" s="75">
        <f>25965+13272</f>
        <v>39237</v>
      </c>
      <c r="G350" s="75">
        <v>2283.94</v>
      </c>
      <c r="H350" s="79"/>
      <c r="I350" s="131"/>
      <c r="J350" s="202"/>
    </row>
    <row r="351" spans="1:10" s="203" customFormat="1">
      <c r="A351" s="115"/>
      <c r="B351" s="179">
        <v>3238</v>
      </c>
      <c r="C351" s="49"/>
      <c r="D351" s="164" t="s">
        <v>171</v>
      </c>
      <c r="E351" s="75">
        <f>8340/7.5345</f>
        <v>1106.9082221779813</v>
      </c>
      <c r="F351" s="75"/>
      <c r="G351" s="75">
        <v>553.44000000000005</v>
      </c>
      <c r="H351" s="79"/>
      <c r="I351" s="131"/>
      <c r="J351" s="202"/>
    </row>
    <row r="352" spans="1:10" s="203" customFormat="1">
      <c r="A352" s="115"/>
      <c r="B352" s="179">
        <v>3239</v>
      </c>
      <c r="C352" s="49"/>
      <c r="D352" s="164" t="s">
        <v>173</v>
      </c>
      <c r="E352" s="75">
        <f>128472.05/7.5345</f>
        <v>17051.171278784259</v>
      </c>
      <c r="F352" s="75"/>
      <c r="G352" s="75">
        <v>24958.54</v>
      </c>
      <c r="H352" s="79"/>
      <c r="I352" s="131"/>
      <c r="J352" s="202"/>
    </row>
    <row r="353" spans="1:10" s="160" customFormat="1">
      <c r="A353" s="118"/>
      <c r="B353" s="173">
        <v>329</v>
      </c>
      <c r="C353" s="51"/>
      <c r="D353" s="168" t="s">
        <v>179</v>
      </c>
      <c r="E353" s="210">
        <f>E354</f>
        <v>153.22848231468578</v>
      </c>
      <c r="F353" s="210">
        <f>F354</f>
        <v>0</v>
      </c>
      <c r="G353" s="210">
        <f>G354</f>
        <v>0</v>
      </c>
      <c r="H353" s="121"/>
      <c r="I353" s="206"/>
      <c r="J353" s="159"/>
    </row>
    <row r="354" spans="1:10" s="203" customFormat="1">
      <c r="A354" s="115"/>
      <c r="B354" s="179">
        <v>3295</v>
      </c>
      <c r="C354" s="49"/>
      <c r="D354" s="164" t="s">
        <v>220</v>
      </c>
      <c r="E354" s="75">
        <f>1154.5/7.5345</f>
        <v>153.22848231468578</v>
      </c>
      <c r="F354" s="75"/>
      <c r="G354" s="75"/>
      <c r="H354" s="79"/>
      <c r="I354" s="131"/>
      <c r="J354" s="202"/>
    </row>
    <row r="355" spans="1:10" s="203" customFormat="1">
      <c r="A355" s="115"/>
      <c r="B355" s="106" t="s">
        <v>192</v>
      </c>
      <c r="C355" s="107"/>
      <c r="D355" s="108" t="s">
        <v>193</v>
      </c>
      <c r="E355" s="109">
        <f>E356</f>
        <v>298.09542769925008</v>
      </c>
      <c r="F355" s="109">
        <f>F356</f>
        <v>0</v>
      </c>
      <c r="G355" s="109">
        <f t="shared" ref="G355" si="107">G356</f>
        <v>351.47</v>
      </c>
      <c r="H355" s="110">
        <f>G355/E355*100</f>
        <v>117.90519657168301</v>
      </c>
      <c r="I355" s="110" t="e">
        <f>G355/F355*100</f>
        <v>#DIV/0!</v>
      </c>
      <c r="J355" s="202"/>
    </row>
    <row r="356" spans="1:10" s="160" customFormat="1">
      <c r="A356" s="118"/>
      <c r="B356" s="173">
        <v>343</v>
      </c>
      <c r="C356" s="51"/>
      <c r="D356" s="168" t="s">
        <v>195</v>
      </c>
      <c r="E356" s="210">
        <f>E357+E358</f>
        <v>298.09542769925008</v>
      </c>
      <c r="F356" s="210">
        <f>F357+F358</f>
        <v>0</v>
      </c>
      <c r="G356" s="210">
        <f t="shared" ref="G356" si="108">G357+G358</f>
        <v>351.47</v>
      </c>
      <c r="H356" s="121"/>
      <c r="I356" s="206"/>
      <c r="J356" s="159"/>
    </row>
    <row r="357" spans="1:10" s="203" customFormat="1">
      <c r="A357" s="115"/>
      <c r="B357" s="179">
        <v>3431</v>
      </c>
      <c r="C357" s="49"/>
      <c r="D357" s="164" t="s">
        <v>197</v>
      </c>
      <c r="E357" s="75">
        <f>2246/7.5345</f>
        <v>298.09542769925008</v>
      </c>
      <c r="F357" s="75"/>
      <c r="G357" s="75">
        <v>351.47</v>
      </c>
      <c r="H357" s="79"/>
      <c r="I357" s="131"/>
      <c r="J357" s="202"/>
    </row>
    <row r="358" spans="1:10" s="203" customFormat="1">
      <c r="A358" s="115"/>
      <c r="B358" s="179">
        <v>3432</v>
      </c>
      <c r="C358" s="49"/>
      <c r="D358" s="164" t="s">
        <v>199</v>
      </c>
      <c r="E358" s="75">
        <f>0</f>
        <v>0</v>
      </c>
      <c r="F358" s="75"/>
      <c r="G358" s="75"/>
      <c r="H358" s="79"/>
      <c r="I358" s="131"/>
      <c r="J358" s="202"/>
    </row>
    <row r="359" spans="1:10" s="203" customFormat="1">
      <c r="A359" s="115"/>
      <c r="B359" s="106" t="s">
        <v>264</v>
      </c>
      <c r="C359" s="107"/>
      <c r="D359" s="108" t="s">
        <v>265</v>
      </c>
      <c r="E359" s="109">
        <f>E360</f>
        <v>144464.45948636273</v>
      </c>
      <c r="F359" s="109">
        <f>F360</f>
        <v>92906</v>
      </c>
      <c r="G359" s="109">
        <f t="shared" ref="G359:G360" si="109">G360</f>
        <v>0</v>
      </c>
      <c r="H359" s="110">
        <f>G359/E359*100</f>
        <v>0</v>
      </c>
      <c r="I359" s="110">
        <f>G359/F359*100</f>
        <v>0</v>
      </c>
      <c r="J359" s="202"/>
    </row>
    <row r="360" spans="1:10" s="160" customFormat="1">
      <c r="A360" s="118"/>
      <c r="B360" s="173">
        <v>353</v>
      </c>
      <c r="C360" s="51"/>
      <c r="D360" s="168" t="s">
        <v>265</v>
      </c>
      <c r="E360" s="210">
        <f>E361</f>
        <v>144464.45948636273</v>
      </c>
      <c r="F360" s="210">
        <f>F361</f>
        <v>92906</v>
      </c>
      <c r="G360" s="210">
        <f t="shared" si="109"/>
        <v>0</v>
      </c>
      <c r="H360" s="121"/>
      <c r="I360" s="206"/>
      <c r="J360" s="159"/>
    </row>
    <row r="361" spans="1:10" s="203" customFormat="1">
      <c r="A361" s="115"/>
      <c r="B361" s="179">
        <v>3531</v>
      </c>
      <c r="C361" s="49"/>
      <c r="D361" s="164" t="s">
        <v>266</v>
      </c>
      <c r="E361" s="75">
        <f>1088467.47/7.5345</f>
        <v>144464.45948636273</v>
      </c>
      <c r="F361" s="75">
        <v>92906</v>
      </c>
      <c r="G361" s="75"/>
      <c r="H361" s="79"/>
      <c r="I361" s="131"/>
      <c r="J361" s="202"/>
    </row>
    <row r="362" spans="1:10" s="203" customFormat="1">
      <c r="A362" s="115"/>
      <c r="B362" s="106" t="s">
        <v>204</v>
      </c>
      <c r="C362" s="107"/>
      <c r="D362" s="108" t="s">
        <v>205</v>
      </c>
      <c r="E362" s="109">
        <f>E365+E363</f>
        <v>378224.35330811597</v>
      </c>
      <c r="F362" s="109">
        <f>F365+F363</f>
        <v>1019709</v>
      </c>
      <c r="G362" s="109">
        <f>G365+G363</f>
        <v>96700.32</v>
      </c>
      <c r="H362" s="110">
        <f>G362/E362*100</f>
        <v>25.566920573521145</v>
      </c>
      <c r="I362" s="110">
        <f>G362/F362*100</f>
        <v>9.4831290103353023</v>
      </c>
      <c r="J362" s="202"/>
    </row>
    <row r="363" spans="1:10" s="203" customFormat="1">
      <c r="A363" s="115"/>
      <c r="B363" s="151" t="s">
        <v>267</v>
      </c>
      <c r="C363" s="60"/>
      <c r="D363" s="152" t="s">
        <v>53</v>
      </c>
      <c r="E363" s="153">
        <f>E364</f>
        <v>0</v>
      </c>
      <c r="F363" s="153">
        <f>F364</f>
        <v>99277</v>
      </c>
      <c r="G363" s="153">
        <f>G364</f>
        <v>0</v>
      </c>
      <c r="H363" s="154"/>
      <c r="I363" s="154"/>
      <c r="J363" s="202"/>
    </row>
    <row r="364" spans="1:10" s="212" customFormat="1">
      <c r="A364" s="211"/>
      <c r="B364" s="155" t="s">
        <v>268</v>
      </c>
      <c r="C364" s="211"/>
      <c r="D364" s="174" t="s">
        <v>269</v>
      </c>
      <c r="E364" s="70"/>
      <c r="F364" s="70">
        <v>99277</v>
      </c>
      <c r="G364" s="70"/>
      <c r="H364" s="175"/>
      <c r="I364" s="175"/>
      <c r="J364" s="201"/>
    </row>
    <row r="365" spans="1:10" s="203" customFormat="1">
      <c r="A365" s="115"/>
      <c r="B365" s="173">
        <v>369</v>
      </c>
      <c r="C365" s="51"/>
      <c r="D365" s="164" t="s">
        <v>270</v>
      </c>
      <c r="E365" s="210">
        <f>E366</f>
        <v>378224.35330811597</v>
      </c>
      <c r="F365" s="210">
        <f>F366</f>
        <v>920432</v>
      </c>
      <c r="G365" s="210">
        <f t="shared" ref="G365" si="110">G366</f>
        <v>96700.32</v>
      </c>
      <c r="H365" s="121"/>
      <c r="I365" s="206"/>
      <c r="J365" s="202"/>
    </row>
    <row r="366" spans="1:10" s="203" customFormat="1">
      <c r="A366" s="115"/>
      <c r="B366" s="179">
        <v>3693</v>
      </c>
      <c r="C366" s="49"/>
      <c r="D366" s="164" t="s">
        <v>61</v>
      </c>
      <c r="E366" s="75">
        <f>2849731.39/7.5345</f>
        <v>378224.35330811597</v>
      </c>
      <c r="F366" s="75">
        <v>920432</v>
      </c>
      <c r="G366" s="75">
        <v>96700.32</v>
      </c>
      <c r="H366" s="79"/>
      <c r="I366" s="131"/>
      <c r="J366" s="202"/>
    </row>
    <row r="367" spans="1:10" s="203" customFormat="1">
      <c r="A367" s="115"/>
      <c r="B367" s="106" t="s">
        <v>209</v>
      </c>
      <c r="C367" s="107"/>
      <c r="D367" s="108" t="s">
        <v>210</v>
      </c>
      <c r="E367" s="109">
        <f>E368</f>
        <v>1061.7824673170085</v>
      </c>
      <c r="F367" s="109">
        <f>F368</f>
        <v>6636</v>
      </c>
      <c r="G367" s="109">
        <f t="shared" ref="G367:G368" si="111">G368</f>
        <v>0</v>
      </c>
      <c r="H367" s="110">
        <f>G367/E367*100</f>
        <v>0</v>
      </c>
      <c r="I367" s="110">
        <f>G367/F367*100</f>
        <v>0</v>
      </c>
      <c r="J367" s="202"/>
    </row>
    <row r="368" spans="1:10" s="203" customFormat="1">
      <c r="A368" s="115"/>
      <c r="B368" s="173">
        <v>372</v>
      </c>
      <c r="C368" s="51"/>
      <c r="D368" s="168" t="s">
        <v>212</v>
      </c>
      <c r="E368" s="210">
        <f>E369</f>
        <v>1061.7824673170085</v>
      </c>
      <c r="F368" s="210">
        <f>F369</f>
        <v>6636</v>
      </c>
      <c r="G368" s="210">
        <f t="shared" si="111"/>
        <v>0</v>
      </c>
      <c r="H368" s="121"/>
      <c r="I368" s="206"/>
      <c r="J368" s="202"/>
    </row>
    <row r="369" spans="1:10" s="203" customFormat="1">
      <c r="A369" s="115"/>
      <c r="B369" s="179">
        <v>3721</v>
      </c>
      <c r="C369" s="49"/>
      <c r="D369" s="164" t="s">
        <v>214</v>
      </c>
      <c r="E369" s="75">
        <f>8000/7.5345</f>
        <v>1061.7824673170085</v>
      </c>
      <c r="F369" s="75">
        <v>6636</v>
      </c>
      <c r="G369" s="75"/>
      <c r="H369" s="79"/>
      <c r="I369" s="131"/>
      <c r="J369" s="202"/>
    </row>
    <row r="370" spans="1:10" s="144" customFormat="1">
      <c r="A370" s="214"/>
      <c r="B370" s="215"/>
      <c r="C370" s="139" t="s">
        <v>271</v>
      </c>
      <c r="D370" s="140" t="s">
        <v>272</v>
      </c>
      <c r="E370" s="141">
        <f>E335+E340+E355+E359+E362+E367</f>
        <v>695370.54084544419</v>
      </c>
      <c r="F370" s="141">
        <f>F335+F340+F355+F359+F362+F367</f>
        <v>1355287</v>
      </c>
      <c r="G370" s="141">
        <f>G335+G340+G355+G359+G362+G367</f>
        <v>155748.93000000002</v>
      </c>
      <c r="H370" s="142">
        <f>G370/E370*100</f>
        <v>22.397976453048706</v>
      </c>
      <c r="I370" s="142">
        <f>G370/F370*100</f>
        <v>11.491951889157058</v>
      </c>
      <c r="J370" s="143"/>
    </row>
    <row r="371" spans="1:10" s="203" customFormat="1">
      <c r="A371" s="115"/>
      <c r="B371" s="106" t="s">
        <v>226</v>
      </c>
      <c r="C371" s="107"/>
      <c r="D371" s="108" t="s">
        <v>134</v>
      </c>
      <c r="E371" s="109">
        <f>E372+E374+E377+E381+E383</f>
        <v>7010.3656513371825</v>
      </c>
      <c r="F371" s="109">
        <f>F372+F374+F377+F381+F383</f>
        <v>0</v>
      </c>
      <c r="G371" s="109">
        <f>G372+G374+G377+G381+G383</f>
        <v>1373.65</v>
      </c>
      <c r="H371" s="110">
        <f>G371/E371*100</f>
        <v>19.594555666835799</v>
      </c>
      <c r="I371" s="110" t="e">
        <f>G371/F371*100</f>
        <v>#DIV/0!</v>
      </c>
      <c r="J371" s="202"/>
    </row>
    <row r="372" spans="1:10" s="216" customFormat="1">
      <c r="A372" s="115"/>
      <c r="B372" s="173">
        <v>321</v>
      </c>
      <c r="C372" s="146"/>
      <c r="D372" s="147" t="s">
        <v>135</v>
      </c>
      <c r="E372" s="148">
        <f>E373</f>
        <v>1349.8679408056273</v>
      </c>
      <c r="F372" s="148">
        <f>F373</f>
        <v>0</v>
      </c>
      <c r="G372" s="148">
        <f>G373</f>
        <v>176</v>
      </c>
      <c r="H372" s="79"/>
      <c r="I372" s="79"/>
      <c r="J372" s="202"/>
    </row>
    <row r="373" spans="1:10" s="219" customFormat="1">
      <c r="A373" s="211"/>
      <c r="B373" s="162">
        <v>3211</v>
      </c>
      <c r="C373" s="217"/>
      <c r="D373" s="150" t="s">
        <v>137</v>
      </c>
      <c r="E373" s="218">
        <f>10170.58/7.5345</f>
        <v>1349.8679408056273</v>
      </c>
      <c r="F373" s="218"/>
      <c r="G373" s="218">
        <v>176</v>
      </c>
      <c r="H373" s="163"/>
      <c r="I373" s="163"/>
      <c r="J373" s="201"/>
    </row>
    <row r="374" spans="1:10" s="216" customFormat="1">
      <c r="A374" s="115"/>
      <c r="B374" s="173">
        <v>322</v>
      </c>
      <c r="C374" s="146"/>
      <c r="D374" s="147" t="s">
        <v>143</v>
      </c>
      <c r="E374" s="148">
        <f>E375+E376</f>
        <v>1095.8975379919038</v>
      </c>
      <c r="F374" s="148">
        <f>F375+F376</f>
        <v>0</v>
      </c>
      <c r="G374" s="148">
        <f>G375+G376</f>
        <v>177.16</v>
      </c>
      <c r="H374" s="79"/>
      <c r="I374" s="79"/>
      <c r="J374" s="202"/>
    </row>
    <row r="375" spans="1:10" s="216" customFormat="1">
      <c r="A375" s="115"/>
      <c r="B375" s="179">
        <v>3221</v>
      </c>
      <c r="C375" s="146"/>
      <c r="D375" s="150" t="s">
        <v>145</v>
      </c>
      <c r="E375" s="73">
        <f>7445.01/7.5345</f>
        <v>988.12263587497512</v>
      </c>
      <c r="F375" s="73"/>
      <c r="G375" s="73">
        <v>177.16</v>
      </c>
      <c r="H375" s="163"/>
      <c r="I375" s="163"/>
      <c r="J375" s="202"/>
    </row>
    <row r="376" spans="1:10" s="216" customFormat="1">
      <c r="A376" s="115"/>
      <c r="B376" s="179">
        <v>3225</v>
      </c>
      <c r="C376" s="146"/>
      <c r="D376" s="150" t="s">
        <v>151</v>
      </c>
      <c r="E376" s="73">
        <f>812.03/7.5345</f>
        <v>107.77490211692879</v>
      </c>
      <c r="F376" s="73"/>
      <c r="G376" s="73"/>
      <c r="H376" s="163"/>
      <c r="I376" s="163"/>
      <c r="J376" s="202"/>
    </row>
    <row r="377" spans="1:10" s="216" customFormat="1">
      <c r="A377" s="115"/>
      <c r="B377" s="173">
        <v>323</v>
      </c>
      <c r="C377" s="146"/>
      <c r="D377" s="147" t="s">
        <v>155</v>
      </c>
      <c r="E377" s="148">
        <f>E378+E379+E380</f>
        <v>1615.3162120910479</v>
      </c>
      <c r="F377" s="148">
        <f>F378+F379+F380</f>
        <v>0</v>
      </c>
      <c r="G377" s="148">
        <f>G378+G379+G380</f>
        <v>920.49</v>
      </c>
      <c r="H377" s="79"/>
      <c r="I377" s="79"/>
      <c r="J377" s="202"/>
    </row>
    <row r="378" spans="1:10" s="216" customFormat="1">
      <c r="A378" s="115"/>
      <c r="B378" s="179">
        <v>3231</v>
      </c>
      <c r="C378" s="146"/>
      <c r="D378" s="150" t="s">
        <v>157</v>
      </c>
      <c r="E378" s="73">
        <f>1500/7.5345</f>
        <v>199.08421262193906</v>
      </c>
      <c r="F378" s="148"/>
      <c r="G378" s="148"/>
      <c r="H378" s="79"/>
      <c r="I378" s="79"/>
      <c r="J378" s="202"/>
    </row>
    <row r="379" spans="1:10" s="216" customFormat="1">
      <c r="A379" s="115"/>
      <c r="B379" s="179">
        <v>3237</v>
      </c>
      <c r="C379" s="146"/>
      <c r="D379" s="150" t="s">
        <v>169</v>
      </c>
      <c r="E379" s="73">
        <f>6108.1/7.5345</f>
        <v>810.68418607737738</v>
      </c>
      <c r="F379" s="148"/>
      <c r="G379" s="148">
        <v>570.49</v>
      </c>
      <c r="H379" s="79"/>
      <c r="I379" s="79"/>
      <c r="J379" s="202"/>
    </row>
    <row r="380" spans="1:10" s="216" customFormat="1">
      <c r="A380" s="115"/>
      <c r="B380" s="179">
        <v>3239</v>
      </c>
      <c r="C380" s="146"/>
      <c r="D380" s="150" t="s">
        <v>173</v>
      </c>
      <c r="E380" s="73">
        <f>4562.5/7.5345</f>
        <v>605.54781339173132</v>
      </c>
      <c r="F380" s="148"/>
      <c r="G380" s="148">
        <v>350</v>
      </c>
      <c r="H380" s="79"/>
      <c r="I380" s="79"/>
      <c r="J380" s="202"/>
    </row>
    <row r="381" spans="1:10" s="216" customFormat="1">
      <c r="A381" s="115"/>
      <c r="B381" s="173">
        <v>324</v>
      </c>
      <c r="C381" s="146"/>
      <c r="D381" s="147" t="s">
        <v>273</v>
      </c>
      <c r="E381" s="148">
        <f>E382</f>
        <v>633.53639923020773</v>
      </c>
      <c r="F381" s="148">
        <f>F382</f>
        <v>0</v>
      </c>
      <c r="G381" s="148">
        <f>G382</f>
        <v>0</v>
      </c>
      <c r="H381" s="79"/>
      <c r="I381" s="79"/>
      <c r="J381" s="202"/>
    </row>
    <row r="382" spans="1:10" s="216" customFormat="1">
      <c r="A382" s="115"/>
      <c r="B382" s="179">
        <v>3241</v>
      </c>
      <c r="C382" s="112"/>
      <c r="D382" s="150" t="s">
        <v>273</v>
      </c>
      <c r="E382" s="75">
        <f>4773.38/7.5345</f>
        <v>633.53639923020773</v>
      </c>
      <c r="F382" s="75"/>
      <c r="G382" s="75"/>
      <c r="H382" s="79"/>
      <c r="I382" s="130"/>
      <c r="J382" s="202"/>
    </row>
    <row r="383" spans="1:10" s="216" customFormat="1">
      <c r="A383" s="115"/>
      <c r="B383" s="173">
        <v>329</v>
      </c>
      <c r="C383" s="146"/>
      <c r="D383" s="147" t="s">
        <v>179</v>
      </c>
      <c r="E383" s="148">
        <f>E384+E385</f>
        <v>2315.7475612183953</v>
      </c>
      <c r="F383" s="148">
        <f>F384+F385</f>
        <v>0</v>
      </c>
      <c r="G383" s="148">
        <f>G384+G385</f>
        <v>100</v>
      </c>
      <c r="H383" s="79"/>
      <c r="I383" s="79"/>
      <c r="J383" s="202"/>
    </row>
    <row r="384" spans="1:10" s="216" customFormat="1">
      <c r="A384" s="115"/>
      <c r="B384" s="179">
        <v>3293</v>
      </c>
      <c r="C384" s="112"/>
      <c r="D384" s="164" t="s">
        <v>183</v>
      </c>
      <c r="E384" s="75">
        <f>6607/7.5345</f>
        <v>876.89959519543424</v>
      </c>
      <c r="F384" s="75"/>
      <c r="G384" s="75"/>
      <c r="H384" s="79"/>
      <c r="I384" s="130"/>
      <c r="J384" s="202"/>
    </row>
    <row r="385" spans="1:10" s="216" customFormat="1">
      <c r="A385" s="115"/>
      <c r="B385" s="179">
        <v>3299</v>
      </c>
      <c r="C385" s="112"/>
      <c r="D385" s="150" t="s">
        <v>179</v>
      </c>
      <c r="E385" s="75">
        <f>10841/7.5345</f>
        <v>1438.8479660229609</v>
      </c>
      <c r="F385" s="75"/>
      <c r="G385" s="75">
        <v>100</v>
      </c>
      <c r="H385" s="79"/>
      <c r="I385" s="130"/>
      <c r="J385" s="202"/>
    </row>
    <row r="386" spans="1:10" s="216" customFormat="1">
      <c r="A386" s="115"/>
      <c r="B386" s="106" t="s">
        <v>209</v>
      </c>
      <c r="C386" s="107"/>
      <c r="D386" s="108" t="s">
        <v>274</v>
      </c>
      <c r="E386" s="109">
        <f t="shared" ref="E386:G387" si="112">E387</f>
        <v>1061.7824673170085</v>
      </c>
      <c r="F386" s="109">
        <f t="shared" si="112"/>
        <v>0</v>
      </c>
      <c r="G386" s="109">
        <f t="shared" si="112"/>
        <v>0</v>
      </c>
      <c r="H386" s="110">
        <f>G386/E386*100</f>
        <v>0</v>
      </c>
      <c r="I386" s="110" t="e">
        <f>G386/F386*100</f>
        <v>#DIV/0!</v>
      </c>
      <c r="J386" s="202"/>
    </row>
    <row r="387" spans="1:10" s="216" customFormat="1">
      <c r="A387" s="115"/>
      <c r="B387" s="151" t="s">
        <v>211</v>
      </c>
      <c r="C387" s="60"/>
      <c r="D387" s="152" t="s">
        <v>212</v>
      </c>
      <c r="E387" s="153">
        <f t="shared" si="112"/>
        <v>1061.7824673170085</v>
      </c>
      <c r="F387" s="153">
        <f t="shared" si="112"/>
        <v>0</v>
      </c>
      <c r="G387" s="153">
        <f t="shared" si="112"/>
        <v>0</v>
      </c>
      <c r="H387" s="154"/>
      <c r="I387" s="154"/>
      <c r="J387" s="202"/>
    </row>
    <row r="388" spans="1:10" s="219" customFormat="1">
      <c r="A388" s="211"/>
      <c r="B388" s="155" t="s">
        <v>213</v>
      </c>
      <c r="C388" s="211"/>
      <c r="D388" s="174" t="s">
        <v>275</v>
      </c>
      <c r="E388" s="70">
        <f>8000/7.5345</f>
        <v>1061.7824673170085</v>
      </c>
      <c r="F388" s="70"/>
      <c r="G388" s="70"/>
      <c r="H388" s="175"/>
      <c r="I388" s="175"/>
      <c r="J388" s="201"/>
    </row>
    <row r="389" spans="1:10" s="144" customFormat="1">
      <c r="A389" s="214"/>
      <c r="B389" s="220"/>
      <c r="C389" s="139" t="s">
        <v>90</v>
      </c>
      <c r="D389" s="140" t="s">
        <v>276</v>
      </c>
      <c r="E389" s="141">
        <f>E371+E386</f>
        <v>8072.1481186541914</v>
      </c>
      <c r="F389" s="141">
        <f>F371+F386</f>
        <v>0</v>
      </c>
      <c r="G389" s="141">
        <f>G371+G386</f>
        <v>1373.65</v>
      </c>
      <c r="H389" s="142">
        <f>G389/E389*100</f>
        <v>17.017155530453998</v>
      </c>
      <c r="I389" s="142" t="e">
        <f>G389/F389*100</f>
        <v>#DIV/0!</v>
      </c>
      <c r="J389" s="143"/>
    </row>
    <row r="390" spans="1:10" s="203" customFormat="1">
      <c r="A390" s="115"/>
      <c r="B390" s="106">
        <v>32</v>
      </c>
      <c r="C390" s="107"/>
      <c r="D390" s="108" t="s">
        <v>134</v>
      </c>
      <c r="E390" s="109">
        <f>E391</f>
        <v>0</v>
      </c>
      <c r="F390" s="109">
        <f t="shared" ref="F390:G390" si="113">F391</f>
        <v>0</v>
      </c>
      <c r="G390" s="109">
        <f t="shared" si="113"/>
        <v>0</v>
      </c>
      <c r="H390" s="110" t="e">
        <f>G390/E390*100</f>
        <v>#DIV/0!</v>
      </c>
      <c r="I390" s="110" t="e">
        <f>G390/F390*100</f>
        <v>#DIV/0!</v>
      </c>
      <c r="J390" s="202"/>
    </row>
    <row r="391" spans="1:10" s="203" customFormat="1">
      <c r="A391" s="60"/>
      <c r="B391" s="178">
        <v>323</v>
      </c>
      <c r="C391" s="176"/>
      <c r="D391" s="168" t="s">
        <v>277</v>
      </c>
      <c r="E391" s="39">
        <f>SUM(E392)</f>
        <v>0</v>
      </c>
      <c r="F391" s="39">
        <f t="shared" ref="F391:G391" si="114">SUM(F392)</f>
        <v>0</v>
      </c>
      <c r="G391" s="39">
        <f t="shared" si="114"/>
        <v>0</v>
      </c>
      <c r="H391" s="79" t="e">
        <f>SUM(G392/E392*100)</f>
        <v>#DIV/0!</v>
      </c>
      <c r="I391" s="79"/>
      <c r="J391" s="202"/>
    </row>
    <row r="392" spans="1:10" s="203" customFormat="1">
      <c r="A392" s="115"/>
      <c r="B392" s="179" t="s">
        <v>158</v>
      </c>
      <c r="C392" s="49"/>
      <c r="D392" s="164" t="s">
        <v>159</v>
      </c>
      <c r="E392" s="75">
        <v>0</v>
      </c>
      <c r="F392" s="75"/>
      <c r="G392" s="75">
        <f>SUM(#REF!)</f>
        <v>0</v>
      </c>
      <c r="H392" s="79" t="e">
        <f>SUM(G393/E393*100)</f>
        <v>#DIV/0!</v>
      </c>
      <c r="I392" s="131"/>
      <c r="J392" s="202"/>
    </row>
    <row r="393" spans="1:10" s="67" customFormat="1" hidden="1">
      <c r="A393" s="138"/>
      <c r="B393" s="221"/>
      <c r="C393" s="222" t="s">
        <v>278</v>
      </c>
      <c r="D393" s="223" t="s">
        <v>279</v>
      </c>
      <c r="E393" s="224"/>
      <c r="F393" s="225">
        <f>SUM(F317)</f>
        <v>0</v>
      </c>
      <c r="G393" s="224"/>
      <c r="H393" s="226" t="e">
        <f t="shared" si="89"/>
        <v>#DIV/0!</v>
      </c>
      <c r="I393" s="226" t="e">
        <f>SUM(G394/F394*100)</f>
        <v>#DIV/0!</v>
      </c>
      <c r="J393" s="66"/>
    </row>
    <row r="394" spans="1:10" s="186" customFormat="1" hidden="1">
      <c r="A394" s="60"/>
      <c r="B394" s="106">
        <v>32</v>
      </c>
      <c r="C394" s="107"/>
      <c r="D394" s="108" t="s">
        <v>134</v>
      </c>
      <c r="E394" s="109">
        <f>SUM(E395,E397)</f>
        <v>0</v>
      </c>
      <c r="F394" s="109">
        <f t="shared" ref="F394:G394" si="115">SUM(F395,F397)</f>
        <v>0</v>
      </c>
      <c r="G394" s="109">
        <f t="shared" si="115"/>
        <v>0</v>
      </c>
      <c r="H394" s="110" t="e">
        <f t="shared" si="89"/>
        <v>#DIV/0!</v>
      </c>
      <c r="I394" s="110" t="e">
        <f>SUM(G395/F395*100)</f>
        <v>#DIV/0!</v>
      </c>
      <c r="J394" s="185"/>
    </row>
    <row r="395" spans="1:10" s="203" customFormat="1" hidden="1">
      <c r="A395" s="60"/>
      <c r="B395" s="178">
        <v>323</v>
      </c>
      <c r="C395" s="176"/>
      <c r="D395" s="168" t="s">
        <v>155</v>
      </c>
      <c r="E395" s="39">
        <f>SUM(E396)</f>
        <v>0</v>
      </c>
      <c r="F395" s="39"/>
      <c r="G395" s="39">
        <f>SUM(G396)</f>
        <v>0</v>
      </c>
      <c r="H395" s="79" t="e">
        <f t="shared" si="89"/>
        <v>#DIV/0!</v>
      </c>
      <c r="I395" s="79"/>
      <c r="J395" s="202"/>
    </row>
    <row r="396" spans="1:10" s="203" customFormat="1" hidden="1">
      <c r="A396" s="115"/>
      <c r="B396" s="179" t="s">
        <v>158</v>
      </c>
      <c r="C396" s="49"/>
      <c r="D396" s="43" t="s">
        <v>159</v>
      </c>
      <c r="E396" s="75">
        <v>0</v>
      </c>
      <c r="F396" s="75"/>
      <c r="G396" s="75">
        <v>0</v>
      </c>
      <c r="H396" s="79" t="e">
        <f t="shared" si="89"/>
        <v>#DIV/0!</v>
      </c>
      <c r="I396" s="79"/>
      <c r="J396" s="202"/>
    </row>
    <row r="397" spans="1:10" s="67" customFormat="1" ht="30" hidden="1">
      <c r="A397" s="60"/>
      <c r="B397" s="178">
        <v>324</v>
      </c>
      <c r="C397" s="176"/>
      <c r="D397" s="37" t="s">
        <v>251</v>
      </c>
      <c r="E397" s="39">
        <f>SUM(E398)</f>
        <v>0</v>
      </c>
      <c r="F397" s="39"/>
      <c r="G397" s="39">
        <f>SUM(G398)</f>
        <v>0</v>
      </c>
      <c r="H397" s="79" t="e">
        <f t="shared" si="89"/>
        <v>#DIV/0!</v>
      </c>
      <c r="I397" s="79"/>
      <c r="J397" s="66"/>
    </row>
    <row r="398" spans="1:10" s="186" customFormat="1" ht="30" hidden="1">
      <c r="A398" s="115"/>
      <c r="B398" s="179">
        <v>3241</v>
      </c>
      <c r="C398" s="49"/>
      <c r="D398" s="43" t="s">
        <v>251</v>
      </c>
      <c r="E398" s="75">
        <v>0</v>
      </c>
      <c r="F398" s="75"/>
      <c r="G398" s="75">
        <f>SUM(#REF!)</f>
        <v>0</v>
      </c>
      <c r="H398" s="130" t="e">
        <f t="shared" si="89"/>
        <v>#DIV/0!</v>
      </c>
      <c r="I398" s="131"/>
      <c r="J398" s="185"/>
    </row>
    <row r="399" spans="1:10" s="25" customFormat="1" ht="18" hidden="1" customHeight="1">
      <c r="A399" s="138"/>
      <c r="B399" s="221"/>
      <c r="C399" s="222" t="s">
        <v>280</v>
      </c>
      <c r="D399" s="223" t="s">
        <v>281</v>
      </c>
      <c r="E399" s="224">
        <f>SUM(E394)</f>
        <v>0</v>
      </c>
      <c r="F399" s="225">
        <f t="shared" ref="F399" si="116">SUM(F394)</f>
        <v>0</v>
      </c>
      <c r="G399" s="224">
        <f>SUM(G394)</f>
        <v>0</v>
      </c>
      <c r="H399" s="226">
        <f t="shared" ref="H399:H496" si="117">SUM(G400/E400*100)</f>
        <v>13.148840238033102</v>
      </c>
      <c r="I399" s="226">
        <f t="shared" ref="I399" si="118">SUM(G400/F400*100)</f>
        <v>11.691301424130815</v>
      </c>
      <c r="J399" s="21"/>
    </row>
    <row r="400" spans="1:10" s="89" customFormat="1">
      <c r="A400" s="227">
        <v>4</v>
      </c>
      <c r="B400" s="228"/>
      <c r="C400" s="229"/>
      <c r="D400" s="230" t="s">
        <v>282</v>
      </c>
      <c r="E400" s="231">
        <f>E425+E433+E443+E463+E475+E484+E490</f>
        <v>1008881.1453978366</v>
      </c>
      <c r="F400" s="231">
        <f>F425+F433+F443+F463+F475+F484+F490</f>
        <v>1134657</v>
      </c>
      <c r="G400" s="231">
        <f>G425+G433+G443+G463+G475+G484+G490</f>
        <v>132656.16999999998</v>
      </c>
      <c r="H400" s="232">
        <f>SUM(G404/E404*100)</f>
        <v>17.203547679495308</v>
      </c>
      <c r="I400" s="232">
        <f>SUM(G404/F404*100)</f>
        <v>15.391325058361776</v>
      </c>
    </row>
    <row r="401" spans="1:9">
      <c r="A401" s="233"/>
      <c r="B401" s="106" t="s">
        <v>283</v>
      </c>
      <c r="C401" s="107"/>
      <c r="D401" s="108" t="s">
        <v>284</v>
      </c>
      <c r="E401" s="109">
        <f>E402</f>
        <v>6470.2369102130197</v>
      </c>
      <c r="F401" s="109">
        <f>F402</f>
        <v>5479</v>
      </c>
      <c r="G401" s="109">
        <f>G402</f>
        <v>0</v>
      </c>
      <c r="H401" s="110">
        <f>G401/E401*100</f>
        <v>0</v>
      </c>
      <c r="I401" s="110">
        <f>G401/F401*100</f>
        <v>0</v>
      </c>
    </row>
    <row r="402" spans="1:9" s="201" customFormat="1">
      <c r="A402" s="234"/>
      <c r="B402" s="157" t="s">
        <v>285</v>
      </c>
      <c r="C402" s="211"/>
      <c r="D402" s="174" t="s">
        <v>286</v>
      </c>
      <c r="E402" s="70">
        <f>E403</f>
        <v>6470.2369102130197</v>
      </c>
      <c r="F402" s="70">
        <f t="shared" ref="F402:G402" si="119">F403</f>
        <v>5479</v>
      </c>
      <c r="G402" s="70">
        <f t="shared" si="119"/>
        <v>0</v>
      </c>
      <c r="H402" s="175"/>
      <c r="I402" s="175"/>
    </row>
    <row r="403" spans="1:9" s="201" customFormat="1">
      <c r="A403" s="234"/>
      <c r="B403" s="155" t="s">
        <v>287</v>
      </c>
      <c r="C403" s="211"/>
      <c r="D403" s="174" t="s">
        <v>288</v>
      </c>
      <c r="E403" s="70">
        <f>48750/7.5345</f>
        <v>6470.2369102130197</v>
      </c>
      <c r="F403" s="70">
        <v>5479</v>
      </c>
      <c r="G403" s="70"/>
      <c r="H403" s="175"/>
      <c r="I403" s="175"/>
    </row>
    <row r="404" spans="1:9">
      <c r="A404" s="60"/>
      <c r="B404" s="106">
        <v>42</v>
      </c>
      <c r="C404" s="107"/>
      <c r="D404" s="108" t="s">
        <v>289</v>
      </c>
      <c r="E404" s="109">
        <f>E405+E407+E415+E417</f>
        <v>227260.62512442761</v>
      </c>
      <c r="F404" s="109">
        <f>F405+F407+F415+F417</f>
        <v>254019</v>
      </c>
      <c r="G404" s="109">
        <f>G405+G407+G415+G417</f>
        <v>39096.89</v>
      </c>
      <c r="H404" s="110">
        <f>G404/E404*100</f>
        <v>17.203547679495308</v>
      </c>
      <c r="I404" s="110">
        <f>G404/F404*100</f>
        <v>15.391325058361776</v>
      </c>
    </row>
    <row r="405" spans="1:9">
      <c r="A405" s="60"/>
      <c r="B405" s="157" t="s">
        <v>290</v>
      </c>
      <c r="C405" s="118"/>
      <c r="D405" s="152" t="s">
        <v>291</v>
      </c>
      <c r="E405" s="158">
        <f>E406</f>
        <v>41411.009356957991</v>
      </c>
      <c r="F405" s="158">
        <f>F406</f>
        <v>82558</v>
      </c>
      <c r="G405" s="158">
        <f>G406</f>
        <v>0</v>
      </c>
      <c r="H405" s="134"/>
      <c r="I405" s="134"/>
    </row>
    <row r="406" spans="1:9">
      <c r="A406" s="60"/>
      <c r="B406" s="155" t="s">
        <v>292</v>
      </c>
      <c r="C406" s="211"/>
      <c r="D406" s="174" t="s">
        <v>293</v>
      </c>
      <c r="E406" s="70">
        <f>312011.25/7.5345</f>
        <v>41411.009356957991</v>
      </c>
      <c r="F406" s="70">
        <v>82558</v>
      </c>
      <c r="G406" s="70"/>
      <c r="H406" s="175"/>
      <c r="I406" s="175"/>
    </row>
    <row r="407" spans="1:9">
      <c r="A407" s="115"/>
      <c r="B407" s="111">
        <v>422</v>
      </c>
      <c r="C407" s="112"/>
      <c r="D407" s="113" t="s">
        <v>294</v>
      </c>
      <c r="E407" s="79">
        <f>SUM(E408:E414)</f>
        <v>184896.17227420531</v>
      </c>
      <c r="F407" s="79">
        <f>SUM(F408:F414)</f>
        <v>166575</v>
      </c>
      <c r="G407" s="79">
        <f>SUM(G408:G414)</f>
        <v>38868.839999999997</v>
      </c>
      <c r="H407" s="114">
        <f t="shared" si="117"/>
        <v>12.424974769105976</v>
      </c>
      <c r="I407" s="114"/>
    </row>
    <row r="408" spans="1:9">
      <c r="A408" s="115"/>
      <c r="B408" s="116" t="s">
        <v>295</v>
      </c>
      <c r="C408" s="112"/>
      <c r="D408" s="117" t="s">
        <v>296</v>
      </c>
      <c r="E408" s="114">
        <f>1069581.6/7.5345</f>
        <v>141957.8737806092</v>
      </c>
      <c r="F408" s="114">
        <v>143289</v>
      </c>
      <c r="G408" s="114">
        <v>17638.23</v>
      </c>
      <c r="H408" s="235">
        <f>SUM(G425/E425*100)</f>
        <v>16.727311772035289</v>
      </c>
      <c r="I408" s="236"/>
    </row>
    <row r="409" spans="1:9">
      <c r="A409" s="115"/>
      <c r="B409" s="116" t="s">
        <v>297</v>
      </c>
      <c r="C409" s="112"/>
      <c r="D409" s="117" t="s">
        <v>298</v>
      </c>
      <c r="E409" s="114">
        <f>79043.5/7.5345</f>
        <v>10490.875306921494</v>
      </c>
      <c r="F409" s="114">
        <v>4541</v>
      </c>
      <c r="G409" s="114">
        <v>2663.92</v>
      </c>
      <c r="H409" s="235"/>
      <c r="I409" s="236"/>
    </row>
    <row r="410" spans="1:9">
      <c r="A410" s="115"/>
      <c r="B410" s="116" t="s">
        <v>299</v>
      </c>
      <c r="C410" s="112"/>
      <c r="D410" s="117" t="s">
        <v>300</v>
      </c>
      <c r="E410" s="114">
        <f>172921.77/7.5345</f>
        <v>22950.662950428028</v>
      </c>
      <c r="F410" s="114">
        <v>1644</v>
      </c>
      <c r="G410" s="114">
        <v>1324.2</v>
      </c>
      <c r="H410" s="235"/>
      <c r="I410" s="236"/>
    </row>
    <row r="411" spans="1:9">
      <c r="A411" s="115"/>
      <c r="B411" s="116" t="s">
        <v>301</v>
      </c>
      <c r="C411" s="112"/>
      <c r="D411" s="117" t="s">
        <v>302</v>
      </c>
      <c r="E411" s="114">
        <f>34028.92/7.5345</f>
        <v>4516.4138297166364</v>
      </c>
      <c r="F411" s="114">
        <v>14245</v>
      </c>
      <c r="G411" s="114">
        <v>3808.93</v>
      </c>
      <c r="H411" s="235"/>
      <c r="I411" s="236"/>
    </row>
    <row r="412" spans="1:9">
      <c r="A412" s="115"/>
      <c r="B412" s="116" t="s">
        <v>303</v>
      </c>
      <c r="C412" s="112"/>
      <c r="D412" s="117" t="s">
        <v>304</v>
      </c>
      <c r="E412" s="114">
        <v>0</v>
      </c>
      <c r="F412" s="114">
        <v>1209</v>
      </c>
      <c r="G412" s="114"/>
      <c r="H412" s="235"/>
      <c r="I412" s="236"/>
    </row>
    <row r="413" spans="1:9">
      <c r="A413" s="115"/>
      <c r="B413" s="116" t="s">
        <v>305</v>
      </c>
      <c r="C413" s="112"/>
      <c r="D413" s="117" t="s">
        <v>306</v>
      </c>
      <c r="E413" s="114">
        <f>844.99/7.5345</f>
        <v>112.14944588227486</v>
      </c>
      <c r="F413" s="114">
        <v>0</v>
      </c>
      <c r="G413" s="114">
        <v>9290.58</v>
      </c>
      <c r="H413" s="235"/>
      <c r="I413" s="236"/>
    </row>
    <row r="414" spans="1:9">
      <c r="A414" s="115"/>
      <c r="B414" s="116" t="s">
        <v>307</v>
      </c>
      <c r="C414" s="112"/>
      <c r="D414" s="117" t="s">
        <v>308</v>
      </c>
      <c r="E414" s="114">
        <f>36679.43/7.5345</f>
        <v>4868.1969606476869</v>
      </c>
      <c r="F414" s="114">
        <v>1647</v>
      </c>
      <c r="G414" s="114">
        <v>4142.9799999999996</v>
      </c>
      <c r="H414" s="235"/>
      <c r="I414" s="236"/>
    </row>
    <row r="415" spans="1:9" s="122" customFormat="1">
      <c r="A415" s="118"/>
      <c r="B415" s="119" t="s">
        <v>309</v>
      </c>
      <c r="C415" s="113"/>
      <c r="D415" s="113" t="s">
        <v>310</v>
      </c>
      <c r="E415" s="121">
        <f>E416</f>
        <v>953.44349326431745</v>
      </c>
      <c r="F415" s="121">
        <f>F416</f>
        <v>3235</v>
      </c>
      <c r="G415" s="121">
        <f>G416</f>
        <v>228.05</v>
      </c>
      <c r="H415" s="237"/>
      <c r="I415" s="238"/>
    </row>
    <row r="416" spans="1:9">
      <c r="A416" s="115"/>
      <c r="B416" s="116" t="s">
        <v>311</v>
      </c>
      <c r="C416" s="112"/>
      <c r="D416" s="117" t="s">
        <v>312</v>
      </c>
      <c r="E416" s="114">
        <f>7183.72/7.5345</f>
        <v>953.44349326431745</v>
      </c>
      <c r="F416" s="114">
        <v>3235</v>
      </c>
      <c r="G416" s="114">
        <v>228.05</v>
      </c>
      <c r="H416" s="235"/>
      <c r="I416" s="236"/>
    </row>
    <row r="417" spans="1:9" s="122" customFormat="1">
      <c r="A417" s="118"/>
      <c r="B417" s="119" t="s">
        <v>313</v>
      </c>
      <c r="C417" s="113"/>
      <c r="D417" s="113" t="s">
        <v>314</v>
      </c>
      <c r="E417" s="121">
        <f>E418</f>
        <v>0</v>
      </c>
      <c r="F417" s="121">
        <f>F418</f>
        <v>1651</v>
      </c>
      <c r="G417" s="121">
        <f>G418</f>
        <v>0</v>
      </c>
      <c r="H417" s="237"/>
      <c r="I417" s="238"/>
    </row>
    <row r="418" spans="1:9">
      <c r="A418" s="115"/>
      <c r="B418" s="116" t="s">
        <v>315</v>
      </c>
      <c r="C418" s="112"/>
      <c r="D418" s="117" t="s">
        <v>316</v>
      </c>
      <c r="E418" s="114">
        <v>0</v>
      </c>
      <c r="F418" s="114">
        <f>1651</f>
        <v>1651</v>
      </c>
      <c r="G418" s="114">
        <v>0</v>
      </c>
      <c r="H418" s="235"/>
      <c r="I418" s="236"/>
    </row>
    <row r="419" spans="1:9">
      <c r="A419" s="115"/>
      <c r="B419" s="106" t="s">
        <v>242</v>
      </c>
      <c r="C419" s="107"/>
      <c r="D419" s="108" t="s">
        <v>317</v>
      </c>
      <c r="E419" s="109">
        <f>E420</f>
        <v>0</v>
      </c>
      <c r="F419" s="109">
        <f t="shared" ref="F419:G419" si="120">F420</f>
        <v>110</v>
      </c>
      <c r="G419" s="109">
        <f t="shared" si="120"/>
        <v>0</v>
      </c>
      <c r="H419" s="110" t="e">
        <f>G419/E419*100</f>
        <v>#DIV/0!</v>
      </c>
      <c r="I419" s="110">
        <f>G419/F419*100</f>
        <v>0</v>
      </c>
    </row>
    <row r="420" spans="1:9" s="122" customFormat="1">
      <c r="A420" s="118"/>
      <c r="B420" s="119" t="s">
        <v>318</v>
      </c>
      <c r="C420" s="113"/>
      <c r="D420" s="113" t="s">
        <v>319</v>
      </c>
      <c r="E420" s="121">
        <f>E421</f>
        <v>0</v>
      </c>
      <c r="F420" s="121">
        <f>F421</f>
        <v>110</v>
      </c>
      <c r="G420" s="121">
        <f>G421</f>
        <v>0</v>
      </c>
      <c r="H420" s="237"/>
      <c r="I420" s="238"/>
    </row>
    <row r="421" spans="1:9">
      <c r="A421" s="115"/>
      <c r="B421" s="116" t="s">
        <v>320</v>
      </c>
      <c r="C421" s="112"/>
      <c r="D421" s="117" t="s">
        <v>321</v>
      </c>
      <c r="E421" s="114">
        <v>0</v>
      </c>
      <c r="F421" s="114">
        <v>110</v>
      </c>
      <c r="G421" s="114"/>
      <c r="H421" s="235"/>
      <c r="I421" s="236"/>
    </row>
    <row r="422" spans="1:9">
      <c r="A422" s="115"/>
      <c r="B422" s="106" t="s">
        <v>322</v>
      </c>
      <c r="C422" s="107"/>
      <c r="D422" s="108" t="s">
        <v>323</v>
      </c>
      <c r="E422" s="109">
        <f t="shared" ref="E422:G423" si="121">E423</f>
        <v>0</v>
      </c>
      <c r="F422" s="109">
        <f t="shared" si="121"/>
        <v>5479</v>
      </c>
      <c r="G422" s="109">
        <f t="shared" si="121"/>
        <v>0</v>
      </c>
      <c r="H422" s="110" t="e">
        <f>G422/E422*100</f>
        <v>#DIV/0!</v>
      </c>
      <c r="I422" s="110">
        <f>G422/F422*100</f>
        <v>0</v>
      </c>
    </row>
    <row r="423" spans="1:9" s="122" customFormat="1">
      <c r="A423" s="118"/>
      <c r="B423" s="119" t="s">
        <v>324</v>
      </c>
      <c r="C423" s="113"/>
      <c r="D423" s="113" t="s">
        <v>325</v>
      </c>
      <c r="E423" s="121">
        <f t="shared" si="121"/>
        <v>0</v>
      </c>
      <c r="F423" s="121">
        <f t="shared" si="121"/>
        <v>5479</v>
      </c>
      <c r="G423" s="121">
        <f t="shared" si="121"/>
        <v>0</v>
      </c>
      <c r="H423" s="237"/>
      <c r="I423" s="238"/>
    </row>
    <row r="424" spans="1:9">
      <c r="A424" s="115"/>
      <c r="B424" s="116" t="s">
        <v>326</v>
      </c>
      <c r="C424" s="112"/>
      <c r="D424" s="117" t="s">
        <v>325</v>
      </c>
      <c r="E424" s="114">
        <v>0</v>
      </c>
      <c r="F424" s="114">
        <v>5479</v>
      </c>
      <c r="G424" s="114"/>
      <c r="H424" s="235"/>
      <c r="I424" s="236"/>
    </row>
    <row r="425" spans="1:9" s="58" customFormat="1">
      <c r="A425" s="138"/>
      <c r="B425" s="139"/>
      <c r="C425" s="139">
        <v>11</v>
      </c>
      <c r="D425" s="140" t="s">
        <v>219</v>
      </c>
      <c r="E425" s="56">
        <f>E401+E404+E419+E422</f>
        <v>233730.86203464062</v>
      </c>
      <c r="F425" s="56">
        <f t="shared" ref="F425:G425" si="122">F401+F404+F419+F422</f>
        <v>265087</v>
      </c>
      <c r="G425" s="56">
        <f t="shared" si="122"/>
        <v>39096.89</v>
      </c>
      <c r="H425" s="142">
        <f>G425/E425*100</f>
        <v>16.727311772035289</v>
      </c>
      <c r="I425" s="142">
        <f>G425/F425*100</f>
        <v>14.748701369738992</v>
      </c>
    </row>
    <row r="426" spans="1:9">
      <c r="A426" s="138"/>
      <c r="B426" s="106">
        <v>42</v>
      </c>
      <c r="C426" s="107"/>
      <c r="D426" s="108" t="s">
        <v>289</v>
      </c>
      <c r="E426" s="109">
        <f>E427+E429</f>
        <v>103742.03994956534</v>
      </c>
      <c r="F426" s="109">
        <f>F427+F429</f>
        <v>85930</v>
      </c>
      <c r="G426" s="109">
        <f>G427+G429</f>
        <v>0</v>
      </c>
      <c r="H426" s="110">
        <f>G426/E426*100</f>
        <v>0</v>
      </c>
      <c r="I426" s="110">
        <f>G426/F426*100</f>
        <v>0</v>
      </c>
    </row>
    <row r="427" spans="1:9" s="122" customFormat="1">
      <c r="A427" s="118"/>
      <c r="B427" s="157" t="s">
        <v>290</v>
      </c>
      <c r="C427" s="45"/>
      <c r="D427" s="147" t="s">
        <v>291</v>
      </c>
      <c r="E427" s="46">
        <f>E428</f>
        <v>43216.739000597256</v>
      </c>
      <c r="F427" s="46">
        <f>F428</f>
        <v>85930</v>
      </c>
      <c r="G427" s="46">
        <f>G428</f>
        <v>0</v>
      </c>
      <c r="H427" s="134"/>
      <c r="I427" s="134"/>
    </row>
    <row r="428" spans="1:9" s="239" customFormat="1">
      <c r="A428" s="211"/>
      <c r="B428" s="155" t="s">
        <v>292</v>
      </c>
      <c r="C428" s="41"/>
      <c r="D428" s="150" t="s">
        <v>293</v>
      </c>
      <c r="E428" s="44">
        <f>325616.52/7.5345</f>
        <v>43216.739000597256</v>
      </c>
      <c r="F428" s="44">
        <v>85930</v>
      </c>
      <c r="G428" s="44"/>
      <c r="H428" s="175"/>
      <c r="I428" s="175"/>
    </row>
    <row r="429" spans="1:9" s="122" customFormat="1">
      <c r="A429" s="118"/>
      <c r="B429" s="157" t="s">
        <v>327</v>
      </c>
      <c r="C429" s="45"/>
      <c r="D429" s="147" t="s">
        <v>294</v>
      </c>
      <c r="E429" s="46">
        <f>E430+E431+E432</f>
        <v>60525.300948968077</v>
      </c>
      <c r="F429" s="46">
        <f>F430+F431+F432</f>
        <v>0</v>
      </c>
      <c r="G429" s="46">
        <f>G430+G431+G432</f>
        <v>0</v>
      </c>
      <c r="H429" s="134"/>
      <c r="I429" s="134"/>
    </row>
    <row r="430" spans="1:9" s="239" customFormat="1">
      <c r="A430" s="211"/>
      <c r="B430" s="155" t="s">
        <v>295</v>
      </c>
      <c r="C430" s="41"/>
      <c r="D430" s="150" t="s">
        <v>296</v>
      </c>
      <c r="E430" s="44">
        <f>445769.99/7.5345</f>
        <v>59163.844979759764</v>
      </c>
      <c r="F430" s="44"/>
      <c r="G430" s="44"/>
      <c r="H430" s="175"/>
      <c r="I430" s="175"/>
    </row>
    <row r="431" spans="1:9" s="239" customFormat="1">
      <c r="A431" s="211"/>
      <c r="B431" s="155" t="s">
        <v>299</v>
      </c>
      <c r="C431" s="41"/>
      <c r="D431" s="150" t="s">
        <v>300</v>
      </c>
      <c r="E431" s="44">
        <f>-3354.61/7.5345</f>
        <v>-445.23326033578871</v>
      </c>
      <c r="F431" s="44"/>
      <c r="G431" s="44"/>
      <c r="H431" s="175"/>
      <c r="I431" s="175"/>
    </row>
    <row r="432" spans="1:9" s="239" customFormat="1">
      <c r="A432" s="211"/>
      <c r="B432" s="155" t="s">
        <v>307</v>
      </c>
      <c r="C432" s="41"/>
      <c r="D432" s="150" t="s">
        <v>308</v>
      </c>
      <c r="E432" s="44">
        <f>13612.5/7.5345</f>
        <v>1806.6892295440971</v>
      </c>
      <c r="F432" s="44"/>
      <c r="G432" s="44"/>
      <c r="H432" s="175"/>
      <c r="I432" s="175"/>
    </row>
    <row r="433" spans="1:9" s="58" customFormat="1">
      <c r="A433" s="214"/>
      <c r="B433" s="240"/>
      <c r="C433" s="139" t="s">
        <v>221</v>
      </c>
      <c r="D433" s="140" t="s">
        <v>102</v>
      </c>
      <c r="E433" s="56">
        <f>E427+E429</f>
        <v>103742.03994956534</v>
      </c>
      <c r="F433" s="56">
        <f t="shared" ref="F433:G433" si="123">F427+F429</f>
        <v>85930</v>
      </c>
      <c r="G433" s="56">
        <f t="shared" si="123"/>
        <v>0</v>
      </c>
      <c r="H433" s="142">
        <f>G433/E433*100</f>
        <v>0</v>
      </c>
      <c r="I433" s="142">
        <f>G433/F433*100</f>
        <v>0</v>
      </c>
    </row>
    <row r="434" spans="1:9">
      <c r="A434" s="138"/>
      <c r="B434" s="106">
        <v>42</v>
      </c>
      <c r="C434" s="107"/>
      <c r="D434" s="108" t="s">
        <v>289</v>
      </c>
      <c r="E434" s="109">
        <f>E435+E441+E439</f>
        <v>24038.705952617958</v>
      </c>
      <c r="F434" s="109">
        <f>F435+F441</f>
        <v>38884</v>
      </c>
      <c r="G434" s="109">
        <f>G435+G441</f>
        <v>0</v>
      </c>
      <c r="H434" s="110">
        <f>G434/E434*100</f>
        <v>0</v>
      </c>
      <c r="I434" s="110">
        <f>G434/F434*100</f>
        <v>0</v>
      </c>
    </row>
    <row r="435" spans="1:9" s="122" customFormat="1">
      <c r="A435" s="118"/>
      <c r="B435" s="157" t="s">
        <v>327</v>
      </c>
      <c r="C435" s="45"/>
      <c r="D435" s="147" t="s">
        <v>294</v>
      </c>
      <c r="E435" s="46">
        <f>E436+E437+E438</f>
        <v>6803.9856659366906</v>
      </c>
      <c r="F435" s="46">
        <f>F436+F437+F438</f>
        <v>38844</v>
      </c>
      <c r="G435" s="46">
        <f>G436+G437+G438</f>
        <v>0</v>
      </c>
      <c r="H435" s="134"/>
      <c r="I435" s="134"/>
    </row>
    <row r="436" spans="1:9" s="239" customFormat="1">
      <c r="A436" s="211"/>
      <c r="B436" s="155" t="s">
        <v>295</v>
      </c>
      <c r="C436" s="41"/>
      <c r="D436" s="150" t="s">
        <v>296</v>
      </c>
      <c r="E436" s="44">
        <f>18909.41/7.5345</f>
        <v>2509.7100006636138</v>
      </c>
      <c r="F436" s="44">
        <v>2654</v>
      </c>
      <c r="G436" s="44"/>
      <c r="H436" s="175"/>
      <c r="I436" s="175"/>
    </row>
    <row r="437" spans="1:9" s="239" customFormat="1">
      <c r="A437" s="211"/>
      <c r="B437" s="155" t="s">
        <v>301</v>
      </c>
      <c r="C437" s="41"/>
      <c r="D437" s="150" t="s">
        <v>328</v>
      </c>
      <c r="E437" s="44">
        <f>32355.22/7.5345</f>
        <v>4294.2756652730768</v>
      </c>
      <c r="F437" s="44">
        <v>34190</v>
      </c>
      <c r="G437" s="44"/>
      <c r="H437" s="175"/>
      <c r="I437" s="175"/>
    </row>
    <row r="438" spans="1:9" s="239" customFormat="1">
      <c r="A438" s="211"/>
      <c r="B438" s="155" t="s">
        <v>303</v>
      </c>
      <c r="C438" s="41"/>
      <c r="D438" s="150" t="s">
        <v>304</v>
      </c>
      <c r="E438" s="44"/>
      <c r="F438" s="44">
        <v>2000</v>
      </c>
      <c r="G438" s="44"/>
      <c r="H438" s="175"/>
      <c r="I438" s="175"/>
    </row>
    <row r="439" spans="1:9" s="122" customFormat="1">
      <c r="A439" s="118"/>
      <c r="B439" s="157" t="s">
        <v>329</v>
      </c>
      <c r="C439" s="45"/>
      <c r="D439" s="147" t="s">
        <v>330</v>
      </c>
      <c r="E439" s="46">
        <f>E440</f>
        <v>17234.720286681266</v>
      </c>
      <c r="F439" s="46">
        <f>F440</f>
        <v>0</v>
      </c>
      <c r="G439" s="46">
        <f>G440</f>
        <v>0</v>
      </c>
      <c r="H439" s="134"/>
      <c r="I439" s="134"/>
    </row>
    <row r="440" spans="1:9" s="239" customFormat="1">
      <c r="A440" s="211"/>
      <c r="B440" s="155" t="s">
        <v>331</v>
      </c>
      <c r="C440" s="41"/>
      <c r="D440" s="150" t="s">
        <v>332</v>
      </c>
      <c r="E440" s="44">
        <f>129855/7.5345</f>
        <v>17234.720286681266</v>
      </c>
      <c r="F440" s="44"/>
      <c r="G440" s="44"/>
      <c r="H440" s="175"/>
      <c r="I440" s="175"/>
    </row>
    <row r="441" spans="1:9" s="122" customFormat="1">
      <c r="A441" s="118"/>
      <c r="B441" s="157" t="s">
        <v>309</v>
      </c>
      <c r="C441" s="45"/>
      <c r="D441" s="147" t="s">
        <v>310</v>
      </c>
      <c r="E441" s="46">
        <f>E442</f>
        <v>0</v>
      </c>
      <c r="F441" s="46">
        <f>F442</f>
        <v>40</v>
      </c>
      <c r="G441" s="46">
        <f>G442</f>
        <v>0</v>
      </c>
      <c r="H441" s="134"/>
      <c r="I441" s="134"/>
    </row>
    <row r="442" spans="1:9" s="239" customFormat="1">
      <c r="A442" s="211"/>
      <c r="B442" s="155" t="s">
        <v>311</v>
      </c>
      <c r="C442" s="41"/>
      <c r="D442" s="150" t="s">
        <v>312</v>
      </c>
      <c r="E442" s="44"/>
      <c r="F442" s="44">
        <v>40</v>
      </c>
      <c r="G442" s="44"/>
      <c r="H442" s="175"/>
      <c r="I442" s="175"/>
    </row>
    <row r="443" spans="1:9" s="58" customFormat="1">
      <c r="A443" s="214"/>
      <c r="B443" s="240"/>
      <c r="C443" s="139" t="s">
        <v>84</v>
      </c>
      <c r="D443" s="140" t="s">
        <v>333</v>
      </c>
      <c r="E443" s="56">
        <f>E434</f>
        <v>24038.705952617958</v>
      </c>
      <c r="F443" s="56">
        <f>F434</f>
        <v>38884</v>
      </c>
      <c r="G443" s="56">
        <f>G434</f>
        <v>0</v>
      </c>
      <c r="H443" s="142">
        <f>G443/E443*100</f>
        <v>0</v>
      </c>
      <c r="I443" s="142">
        <f>G443/F443*100</f>
        <v>0</v>
      </c>
    </row>
    <row r="444" spans="1:9">
      <c r="A444" s="60"/>
      <c r="B444" s="106">
        <v>42</v>
      </c>
      <c r="C444" s="107"/>
      <c r="D444" s="108" t="s">
        <v>289</v>
      </c>
      <c r="E444" s="109">
        <f>SUM(E447)+E455+E445+E458</f>
        <v>35297.496847833296</v>
      </c>
      <c r="F444" s="109">
        <f t="shared" ref="F444" si="124">SUM(F447)+F455+F445+F458</f>
        <v>43273</v>
      </c>
      <c r="G444" s="109">
        <f>SUM(G447)+G455+G445+G458</f>
        <v>46804.84</v>
      </c>
      <c r="H444" s="110">
        <f>G444/E444*100</f>
        <v>132.60101757859658</v>
      </c>
      <c r="I444" s="110">
        <f>G444/F444*100</f>
        <v>108.16176368636332</v>
      </c>
    </row>
    <row r="445" spans="1:9">
      <c r="A445" s="60"/>
      <c r="B445" s="157" t="s">
        <v>290</v>
      </c>
      <c r="C445" s="211"/>
      <c r="D445" s="147" t="s">
        <v>291</v>
      </c>
      <c r="E445" s="70">
        <f>E446</f>
        <v>0</v>
      </c>
      <c r="F445" s="70">
        <f t="shared" ref="F445:G445" si="125">F446</f>
        <v>13272</v>
      </c>
      <c r="G445" s="70">
        <f t="shared" si="125"/>
        <v>0</v>
      </c>
      <c r="H445" s="175"/>
      <c r="I445" s="175"/>
    </row>
    <row r="446" spans="1:9">
      <c r="A446" s="60"/>
      <c r="B446" s="155" t="s">
        <v>292</v>
      </c>
      <c r="C446" s="211"/>
      <c r="D446" s="150" t="s">
        <v>293</v>
      </c>
      <c r="E446" s="70"/>
      <c r="F446" s="70">
        <v>13272</v>
      </c>
      <c r="G446" s="70"/>
      <c r="H446" s="175"/>
      <c r="I446" s="175"/>
    </row>
    <row r="447" spans="1:9">
      <c r="A447" s="60"/>
      <c r="B447" s="111">
        <v>422</v>
      </c>
      <c r="C447" s="124"/>
      <c r="D447" s="113" t="s">
        <v>294</v>
      </c>
      <c r="E447" s="38">
        <f>E448+E449+E450+E451+E452+E453+E454</f>
        <v>34149.214944588224</v>
      </c>
      <c r="F447" s="38">
        <f>F448+F449+F450+F451+F452+F453+F454</f>
        <v>27222</v>
      </c>
      <c r="G447" s="38">
        <f>G448+G449+G450+G451+G452+G453+G454</f>
        <v>45693.689999999995</v>
      </c>
      <c r="H447" s="133">
        <f t="shared" si="117"/>
        <v>26.081048080227465</v>
      </c>
      <c r="I447" s="133"/>
    </row>
    <row r="448" spans="1:9">
      <c r="A448" s="115"/>
      <c r="B448" s="116" t="s">
        <v>295</v>
      </c>
      <c r="C448" s="112"/>
      <c r="D448" s="117" t="s">
        <v>296</v>
      </c>
      <c r="E448" s="50">
        <f>112176.05/7.5345</f>
        <v>14888.320392859512</v>
      </c>
      <c r="F448" s="50">
        <v>18785</v>
      </c>
      <c r="G448" s="50">
        <v>3883.03</v>
      </c>
      <c r="H448" s="235">
        <f>SUM(G463/E463*100)</f>
        <v>132.60101757859658</v>
      </c>
      <c r="I448" s="236"/>
    </row>
    <row r="449" spans="1:9">
      <c r="A449" s="115"/>
      <c r="B449" s="116" t="s">
        <v>297</v>
      </c>
      <c r="C449" s="112"/>
      <c r="D449" s="117" t="s">
        <v>298</v>
      </c>
      <c r="E449" s="50">
        <f>29021.6/7.5345</f>
        <v>3851.8282566859111</v>
      </c>
      <c r="F449" s="50"/>
      <c r="G449" s="50">
        <v>3839.85</v>
      </c>
      <c r="H449" s="235"/>
      <c r="I449" s="236"/>
    </row>
    <row r="450" spans="1:9">
      <c r="A450" s="115"/>
      <c r="B450" s="116" t="s">
        <v>299</v>
      </c>
      <c r="C450" s="112"/>
      <c r="D450" s="117" t="s">
        <v>334</v>
      </c>
      <c r="E450" s="50">
        <f>4838.88/7.5345</f>
        <v>642.22974318136573</v>
      </c>
      <c r="F450" s="50">
        <v>664</v>
      </c>
      <c r="G450" s="50"/>
      <c r="H450" s="235"/>
      <c r="I450" s="236"/>
    </row>
    <row r="451" spans="1:9">
      <c r="A451" s="115"/>
      <c r="B451" s="116" t="s">
        <v>301</v>
      </c>
      <c r="C451" s="112"/>
      <c r="D451" s="117" t="s">
        <v>302</v>
      </c>
      <c r="E451" s="50">
        <f>15845/7.5345</f>
        <v>2102.9928993297499</v>
      </c>
      <c r="F451" s="50">
        <v>4982</v>
      </c>
      <c r="G451" s="50">
        <v>35990.81</v>
      </c>
      <c r="H451" s="235"/>
      <c r="I451" s="236"/>
    </row>
    <row r="452" spans="1:9">
      <c r="A452" s="115"/>
      <c r="B452" s="116" t="s">
        <v>303</v>
      </c>
      <c r="C452" s="112"/>
      <c r="D452" s="117" t="s">
        <v>335</v>
      </c>
      <c r="E452" s="50">
        <f>1049.99/7.5345</f>
        <v>139.35762160727322</v>
      </c>
      <c r="F452" s="50">
        <v>800</v>
      </c>
      <c r="G452" s="50"/>
      <c r="H452" s="235"/>
      <c r="I452" s="236"/>
    </row>
    <row r="453" spans="1:9">
      <c r="A453" s="115"/>
      <c r="B453" s="116" t="s">
        <v>305</v>
      </c>
      <c r="C453" s="112"/>
      <c r="D453" s="117" t="s">
        <v>306</v>
      </c>
      <c r="E453" s="50">
        <f>81965.74/7.5345</f>
        <v>10878.723206583052</v>
      </c>
      <c r="F453" s="50"/>
      <c r="G453" s="50"/>
      <c r="H453" s="235"/>
      <c r="I453" s="236"/>
    </row>
    <row r="454" spans="1:9">
      <c r="A454" s="115"/>
      <c r="B454" s="116" t="s">
        <v>307</v>
      </c>
      <c r="C454" s="112"/>
      <c r="D454" s="150" t="s">
        <v>308</v>
      </c>
      <c r="E454" s="50">
        <f>12400/7.5345</f>
        <v>1645.7628243413631</v>
      </c>
      <c r="F454" s="50">
        <v>1991</v>
      </c>
      <c r="G454" s="50">
        <v>1980</v>
      </c>
      <c r="H454" s="235"/>
      <c r="I454" s="236"/>
    </row>
    <row r="455" spans="1:9" s="122" customFormat="1">
      <c r="A455" s="118"/>
      <c r="B455" s="119" t="s">
        <v>309</v>
      </c>
      <c r="C455" s="113"/>
      <c r="D455" s="147" t="s">
        <v>310</v>
      </c>
      <c r="E455" s="46">
        <f>E456+E457</f>
        <v>1148.2819032450725</v>
      </c>
      <c r="F455" s="46">
        <f>F456+F457</f>
        <v>779</v>
      </c>
      <c r="G455" s="46">
        <f>G456+G457</f>
        <v>1111.1500000000001</v>
      </c>
      <c r="H455" s="237"/>
      <c r="I455" s="238"/>
    </row>
    <row r="456" spans="1:9">
      <c r="A456" s="115"/>
      <c r="B456" s="116" t="s">
        <v>311</v>
      </c>
      <c r="C456" s="112"/>
      <c r="D456" s="117" t="s">
        <v>312</v>
      </c>
      <c r="E456" s="50">
        <f>8651.73/7.5345</f>
        <v>1148.2819032450725</v>
      </c>
      <c r="F456" s="50">
        <v>779</v>
      </c>
      <c r="G456" s="50">
        <v>1111.1500000000001</v>
      </c>
      <c r="H456" s="235"/>
      <c r="I456" s="236"/>
    </row>
    <row r="457" spans="1:9">
      <c r="A457" s="115"/>
      <c r="B457" s="116" t="s">
        <v>336</v>
      </c>
      <c r="C457" s="112"/>
      <c r="D457" s="117" t="s">
        <v>337</v>
      </c>
      <c r="E457" s="50">
        <f>0/7.5345</f>
        <v>0</v>
      </c>
      <c r="F457" s="50"/>
      <c r="G457" s="50"/>
      <c r="H457" s="235"/>
      <c r="I457" s="236"/>
    </row>
    <row r="458" spans="1:9">
      <c r="A458" s="115"/>
      <c r="B458" s="119" t="s">
        <v>313</v>
      </c>
      <c r="C458" s="112"/>
      <c r="D458" s="113" t="s">
        <v>314</v>
      </c>
      <c r="E458" s="46">
        <f>E459</f>
        <v>0</v>
      </c>
      <c r="F458" s="46">
        <f>F459</f>
        <v>2000</v>
      </c>
      <c r="G458" s="46">
        <f>G459</f>
        <v>0</v>
      </c>
      <c r="H458" s="235"/>
      <c r="I458" s="236"/>
    </row>
    <row r="459" spans="1:9">
      <c r="A459" s="115"/>
      <c r="B459" s="116" t="s">
        <v>315</v>
      </c>
      <c r="C459" s="112"/>
      <c r="D459" s="117" t="s">
        <v>316</v>
      </c>
      <c r="E459" s="50"/>
      <c r="F459" s="50">
        <v>2000</v>
      </c>
      <c r="G459" s="50"/>
      <c r="H459" s="235"/>
      <c r="I459" s="236"/>
    </row>
    <row r="460" spans="1:9">
      <c r="A460" s="115"/>
      <c r="B460" s="106" t="s">
        <v>322</v>
      </c>
      <c r="C460" s="107"/>
      <c r="D460" s="108" t="s">
        <v>338</v>
      </c>
      <c r="E460" s="109">
        <f>E461</f>
        <v>0</v>
      </c>
      <c r="F460" s="109">
        <f t="shared" ref="F460:G460" si="126">F461</f>
        <v>2000</v>
      </c>
      <c r="G460" s="109">
        <f t="shared" si="126"/>
        <v>0</v>
      </c>
      <c r="H460" s="110" t="e">
        <f>G460/E460*100</f>
        <v>#DIV/0!</v>
      </c>
      <c r="I460" s="110">
        <f>G460/F460*100</f>
        <v>0</v>
      </c>
    </row>
    <row r="461" spans="1:9">
      <c r="A461" s="115"/>
      <c r="B461" s="116" t="s">
        <v>324</v>
      </c>
      <c r="C461" s="112"/>
      <c r="D461" s="113" t="s">
        <v>325</v>
      </c>
      <c r="E461" s="50"/>
      <c r="F461" s="50">
        <f>F462</f>
        <v>2000</v>
      </c>
      <c r="G461" s="50"/>
      <c r="H461" s="235"/>
      <c r="I461" s="236"/>
    </row>
    <row r="462" spans="1:9">
      <c r="A462" s="115"/>
      <c r="B462" s="116" t="s">
        <v>326</v>
      </c>
      <c r="C462" s="112"/>
      <c r="D462" s="117" t="s">
        <v>325</v>
      </c>
      <c r="E462" s="50"/>
      <c r="F462" s="50">
        <v>2000</v>
      </c>
      <c r="G462" s="50"/>
      <c r="H462" s="235"/>
      <c r="I462" s="236"/>
    </row>
    <row r="463" spans="1:9" s="58" customFormat="1">
      <c r="A463" s="138"/>
      <c r="B463" s="139"/>
      <c r="C463" s="139" t="s">
        <v>242</v>
      </c>
      <c r="D463" s="140" t="s">
        <v>104</v>
      </c>
      <c r="E463" s="56">
        <f>E444+E460</f>
        <v>35297.496847833296</v>
      </c>
      <c r="F463" s="56">
        <f t="shared" ref="F463:G463" si="127">F444+F460</f>
        <v>45273</v>
      </c>
      <c r="G463" s="56">
        <f t="shared" si="127"/>
        <v>46804.84</v>
      </c>
      <c r="H463" s="142">
        <f>G463/E463*100</f>
        <v>132.60101757859658</v>
      </c>
      <c r="I463" s="142">
        <f>G463/F463*100</f>
        <v>103.38356194641396</v>
      </c>
    </row>
    <row r="464" spans="1:9">
      <c r="A464" s="138"/>
      <c r="B464" s="106">
        <v>42</v>
      </c>
      <c r="C464" s="107"/>
      <c r="D464" s="108" t="s">
        <v>289</v>
      </c>
      <c r="E464" s="109">
        <f>SUM(E465)+E471+E473</f>
        <v>15821.912535669255</v>
      </c>
      <c r="F464" s="109">
        <f>SUM(F465)+F471+F473</f>
        <v>41940</v>
      </c>
      <c r="G464" s="109">
        <f>SUM(G465)+G471+G473</f>
        <v>39140.69</v>
      </c>
      <c r="H464" s="110">
        <f>G464/E464*100</f>
        <v>247.38279845600465</v>
      </c>
      <c r="I464" s="110">
        <f>G464/F464*100</f>
        <v>93.325441106342396</v>
      </c>
    </row>
    <row r="465" spans="1:9">
      <c r="A465" s="138"/>
      <c r="B465" s="195" t="s">
        <v>327</v>
      </c>
      <c r="C465" s="146"/>
      <c r="D465" s="147" t="s">
        <v>294</v>
      </c>
      <c r="E465" s="93">
        <f>E466+E467+E468+E469+E470</f>
        <v>6245.6367376733688</v>
      </c>
      <c r="F465" s="93">
        <f t="shared" ref="F465:G465" si="128">F466+F467+F468+F469+F470</f>
        <v>41940</v>
      </c>
      <c r="G465" s="93">
        <f t="shared" si="128"/>
        <v>39140.69</v>
      </c>
      <c r="H465" s="235"/>
      <c r="I465" s="235"/>
    </row>
    <row r="466" spans="1:9" s="239" customFormat="1">
      <c r="A466" s="241"/>
      <c r="B466" s="155" t="s">
        <v>295</v>
      </c>
      <c r="C466" s="41"/>
      <c r="D466" s="150" t="s">
        <v>296</v>
      </c>
      <c r="E466" s="44">
        <f>20565/7.5345</f>
        <v>2729.4445550467844</v>
      </c>
      <c r="F466" s="44"/>
      <c r="G466" s="44">
        <v>14192.34</v>
      </c>
      <c r="H466" s="175"/>
      <c r="I466" s="175"/>
    </row>
    <row r="467" spans="1:9" s="239" customFormat="1">
      <c r="A467" s="241"/>
      <c r="B467" s="155" t="s">
        <v>297</v>
      </c>
      <c r="C467" s="41"/>
      <c r="D467" s="150" t="s">
        <v>339</v>
      </c>
      <c r="E467" s="44">
        <f>7550/7.5345</f>
        <v>1002.0572035304267</v>
      </c>
      <c r="F467" s="44"/>
      <c r="G467" s="44"/>
      <c r="H467" s="175"/>
      <c r="I467" s="175"/>
    </row>
    <row r="468" spans="1:9" s="239" customFormat="1">
      <c r="A468" s="241"/>
      <c r="B468" s="155" t="s">
        <v>301</v>
      </c>
      <c r="C468" s="41"/>
      <c r="D468" s="150" t="s">
        <v>328</v>
      </c>
      <c r="E468" s="44">
        <f>12642.75/7.5345</f>
        <v>1677.9812860840134</v>
      </c>
      <c r="F468" s="44">
        <v>41940</v>
      </c>
      <c r="G468" s="44">
        <v>15173.71</v>
      </c>
      <c r="H468" s="175"/>
      <c r="I468" s="175"/>
    </row>
    <row r="469" spans="1:9" s="239" customFormat="1">
      <c r="A469" s="241"/>
      <c r="B469" s="155" t="s">
        <v>303</v>
      </c>
      <c r="C469" s="41"/>
      <c r="D469" s="150" t="s">
        <v>304</v>
      </c>
      <c r="E469" s="44">
        <f>6300/7.5345</f>
        <v>836.15369301214412</v>
      </c>
      <c r="F469" s="44"/>
      <c r="G469" s="44"/>
      <c r="H469" s="175"/>
      <c r="I469" s="175"/>
    </row>
    <row r="470" spans="1:9" s="239" customFormat="1">
      <c r="A470" s="241"/>
      <c r="B470" s="155" t="s">
        <v>307</v>
      </c>
      <c r="C470" s="41"/>
      <c r="D470" s="150" t="s">
        <v>308</v>
      </c>
      <c r="E470" s="44"/>
      <c r="F470" s="44"/>
      <c r="G470" s="44">
        <v>9774.64</v>
      </c>
      <c r="H470" s="175"/>
      <c r="I470" s="175"/>
    </row>
    <row r="471" spans="1:9">
      <c r="A471" s="138"/>
      <c r="B471" s="195" t="s">
        <v>329</v>
      </c>
      <c r="C471" s="146"/>
      <c r="D471" s="147" t="s">
        <v>330</v>
      </c>
      <c r="E471" s="93">
        <f>E472</f>
        <v>9290.596589023824</v>
      </c>
      <c r="F471" s="93">
        <f>F472</f>
        <v>0</v>
      </c>
      <c r="G471" s="93">
        <f>G472</f>
        <v>0</v>
      </c>
      <c r="H471" s="235"/>
      <c r="I471" s="235"/>
    </row>
    <row r="472" spans="1:9" s="239" customFormat="1">
      <c r="A472" s="241"/>
      <c r="B472" s="155" t="s">
        <v>331</v>
      </c>
      <c r="C472" s="41"/>
      <c r="D472" s="150" t="s">
        <v>332</v>
      </c>
      <c r="E472" s="44">
        <f>70000/7.5345</f>
        <v>9290.596589023824</v>
      </c>
      <c r="F472" s="44"/>
      <c r="G472" s="44"/>
      <c r="H472" s="175"/>
      <c r="I472" s="175"/>
    </row>
    <row r="473" spans="1:9">
      <c r="A473" s="138"/>
      <c r="B473" s="195" t="s">
        <v>309</v>
      </c>
      <c r="C473" s="146"/>
      <c r="D473" s="147" t="s">
        <v>310</v>
      </c>
      <c r="E473" s="93">
        <f>E474</f>
        <v>285.67920897206182</v>
      </c>
      <c r="F473" s="93">
        <f>F474</f>
        <v>0</v>
      </c>
      <c r="G473" s="93">
        <f>G474</f>
        <v>0</v>
      </c>
      <c r="H473" s="235"/>
      <c r="I473" s="235"/>
    </row>
    <row r="474" spans="1:9" s="239" customFormat="1">
      <c r="A474" s="241"/>
      <c r="B474" s="155" t="s">
        <v>311</v>
      </c>
      <c r="C474" s="41"/>
      <c r="D474" s="150" t="s">
        <v>312</v>
      </c>
      <c r="E474" s="44">
        <f>2152.45/7.5345</f>
        <v>285.67920897206182</v>
      </c>
      <c r="F474" s="44"/>
      <c r="G474" s="44"/>
      <c r="H474" s="175"/>
      <c r="I474" s="175"/>
    </row>
    <row r="475" spans="1:9">
      <c r="A475" s="138"/>
      <c r="B475" s="195"/>
      <c r="C475" s="242" t="s">
        <v>340</v>
      </c>
      <c r="D475" s="243" t="s">
        <v>69</v>
      </c>
      <c r="E475" s="244">
        <f>E464</f>
        <v>15821.912535669255</v>
      </c>
      <c r="F475" s="244">
        <f>F464</f>
        <v>41940</v>
      </c>
      <c r="G475" s="244">
        <f>G464</f>
        <v>39140.69</v>
      </c>
      <c r="H475" s="110">
        <f>G475/E475*100</f>
        <v>247.38279845600465</v>
      </c>
      <c r="I475" s="110">
        <f>G475/F475*100</f>
        <v>93.325441106342396</v>
      </c>
    </row>
    <row r="476" spans="1:9">
      <c r="A476" s="138"/>
      <c r="B476" s="106">
        <v>42</v>
      </c>
      <c r="C476" s="107"/>
      <c r="D476" s="108" t="s">
        <v>289</v>
      </c>
      <c r="E476" s="109">
        <f>E477+E479</f>
        <v>596228.62698254688</v>
      </c>
      <c r="F476" s="109">
        <f>F477+F479</f>
        <v>657543</v>
      </c>
      <c r="G476" s="109">
        <f t="shared" ref="G476" si="129">SUM(G477)</f>
        <v>0</v>
      </c>
      <c r="H476" s="110">
        <f>G476/E476*100</f>
        <v>0</v>
      </c>
      <c r="I476" s="110">
        <f>G476/F476*100</f>
        <v>0</v>
      </c>
    </row>
    <row r="477" spans="1:9">
      <c r="A477" s="138"/>
      <c r="B477" s="195" t="s">
        <v>290</v>
      </c>
      <c r="C477" s="146"/>
      <c r="D477" s="147" t="s">
        <v>291</v>
      </c>
      <c r="E477" s="93">
        <f>E478</f>
        <v>244894.85433671775</v>
      </c>
      <c r="F477" s="93">
        <f>F478</f>
        <v>607543</v>
      </c>
      <c r="G477" s="93"/>
      <c r="H477" s="235"/>
      <c r="I477" s="235"/>
    </row>
    <row r="478" spans="1:9" s="239" customFormat="1">
      <c r="A478" s="241"/>
      <c r="B478" s="155" t="s">
        <v>292</v>
      </c>
      <c r="C478" s="41"/>
      <c r="D478" s="150" t="s">
        <v>293</v>
      </c>
      <c r="E478" s="44">
        <f>1845160.28/7.5345</f>
        <v>244894.85433671775</v>
      </c>
      <c r="F478" s="44">
        <v>607543</v>
      </c>
      <c r="G478" s="44"/>
      <c r="H478" s="175"/>
      <c r="I478" s="175"/>
    </row>
    <row r="479" spans="1:9">
      <c r="A479" s="138"/>
      <c r="B479" s="195" t="s">
        <v>327</v>
      </c>
      <c r="C479" s="146"/>
      <c r="D479" s="147" t="s">
        <v>294</v>
      </c>
      <c r="E479" s="93">
        <f>E480+E481+E482+E483</f>
        <v>351333.77264582913</v>
      </c>
      <c r="F479" s="93">
        <f>F480+F481+F482+F483</f>
        <v>50000</v>
      </c>
      <c r="G479" s="93"/>
      <c r="H479" s="235"/>
      <c r="I479" s="235"/>
    </row>
    <row r="480" spans="1:9" s="239" customFormat="1">
      <c r="A480" s="241"/>
      <c r="B480" s="155" t="s">
        <v>295</v>
      </c>
      <c r="C480" s="41"/>
      <c r="D480" s="150" t="s">
        <v>296</v>
      </c>
      <c r="E480" s="44">
        <f>2526030.01/7.5345</f>
        <v>335261.79706682591</v>
      </c>
      <c r="F480" s="44"/>
      <c r="G480" s="44"/>
      <c r="H480" s="175"/>
      <c r="I480" s="175"/>
    </row>
    <row r="481" spans="1:9" s="239" customFormat="1">
      <c r="A481" s="241"/>
      <c r="B481" s="155" t="s">
        <v>299</v>
      </c>
      <c r="C481" s="41"/>
      <c r="D481" s="150" t="s">
        <v>300</v>
      </c>
      <c r="E481" s="44">
        <f>-19009.45/7.5345</f>
        <v>-2522.9875904174132</v>
      </c>
      <c r="F481" s="44"/>
      <c r="G481" s="44"/>
      <c r="H481" s="175"/>
      <c r="I481" s="175"/>
    </row>
    <row r="482" spans="1:9" s="239" customFormat="1">
      <c r="A482" s="241"/>
      <c r="B482" s="155" t="s">
        <v>301</v>
      </c>
      <c r="C482" s="41"/>
      <c r="D482" s="150" t="s">
        <v>328</v>
      </c>
      <c r="E482" s="44">
        <f>62966.25/7.5345</f>
        <v>8357.0575353374479</v>
      </c>
      <c r="F482" s="44">
        <v>50000</v>
      </c>
      <c r="G482" s="44"/>
      <c r="H482" s="175"/>
      <c r="I482" s="175"/>
    </row>
    <row r="483" spans="1:9" s="239" customFormat="1">
      <c r="A483" s="241"/>
      <c r="B483" s="155" t="s">
        <v>307</v>
      </c>
      <c r="C483" s="41"/>
      <c r="D483" s="150" t="s">
        <v>308</v>
      </c>
      <c r="E483" s="44">
        <f>77137.5/7.5345</f>
        <v>10237.905634083216</v>
      </c>
      <c r="F483" s="44"/>
      <c r="G483" s="44"/>
      <c r="H483" s="175"/>
      <c r="I483" s="175"/>
    </row>
    <row r="484" spans="1:9" s="58" customFormat="1">
      <c r="A484" s="214"/>
      <c r="B484" s="240"/>
      <c r="C484" s="139" t="s">
        <v>271</v>
      </c>
      <c r="D484" s="140" t="s">
        <v>272</v>
      </c>
      <c r="E484" s="56">
        <f>E476</f>
        <v>596228.62698254688</v>
      </c>
      <c r="F484" s="56">
        <f t="shared" ref="F484:G484" si="130">F476</f>
        <v>657543</v>
      </c>
      <c r="G484" s="56">
        <f t="shared" si="130"/>
        <v>0</v>
      </c>
      <c r="H484" s="142">
        <f>G484/E484*100</f>
        <v>0</v>
      </c>
      <c r="I484" s="142">
        <f>G484/F484*100</f>
        <v>0</v>
      </c>
    </row>
    <row r="485" spans="1:9">
      <c r="A485" s="60"/>
      <c r="B485" s="106">
        <v>42</v>
      </c>
      <c r="C485" s="107"/>
      <c r="D485" s="108" t="s">
        <v>289</v>
      </c>
      <c r="E485" s="109">
        <f>SUM(E488)+E486</f>
        <v>21.501094963169418</v>
      </c>
      <c r="F485" s="109">
        <f t="shared" ref="F485:G485" si="131">SUM(F488)+F486</f>
        <v>0</v>
      </c>
      <c r="G485" s="109">
        <f t="shared" si="131"/>
        <v>7613.75</v>
      </c>
      <c r="H485" s="110">
        <f>G485/E485*100</f>
        <v>35410.987268518526</v>
      </c>
      <c r="I485" s="110" t="e">
        <f>G485/F485*100</f>
        <v>#DIV/0!</v>
      </c>
    </row>
    <row r="486" spans="1:9">
      <c r="A486" s="60"/>
      <c r="B486" s="151" t="s">
        <v>327</v>
      </c>
      <c r="C486" s="60"/>
      <c r="D486" s="147" t="s">
        <v>294</v>
      </c>
      <c r="E486" s="153">
        <f>E487</f>
        <v>0</v>
      </c>
      <c r="F486" s="153">
        <f t="shared" ref="F486:G486" si="132">F487</f>
        <v>0</v>
      </c>
      <c r="G486" s="153">
        <f t="shared" si="132"/>
        <v>7613.75</v>
      </c>
      <c r="H486" s="154"/>
      <c r="I486" s="154"/>
    </row>
    <row r="487" spans="1:9">
      <c r="A487" s="60"/>
      <c r="B487" s="155" t="s">
        <v>301</v>
      </c>
      <c r="C487" s="60"/>
      <c r="D487" s="150" t="s">
        <v>328</v>
      </c>
      <c r="E487" s="153"/>
      <c r="F487" s="153"/>
      <c r="G487" s="153">
        <v>7613.75</v>
      </c>
      <c r="H487" s="154"/>
      <c r="I487" s="154"/>
    </row>
    <row r="488" spans="1:9">
      <c r="A488" s="60"/>
      <c r="B488" s="111" t="s">
        <v>309</v>
      </c>
      <c r="C488" s="124"/>
      <c r="D488" s="147" t="s">
        <v>310</v>
      </c>
      <c r="E488" s="38">
        <f>SUM(E489)</f>
        <v>21.501094963169418</v>
      </c>
      <c r="F488" s="38">
        <f>SUM(F489)</f>
        <v>0</v>
      </c>
      <c r="G488" s="38">
        <f>SUM(G489)</f>
        <v>0</v>
      </c>
      <c r="H488" s="133">
        <f t="shared" si="117"/>
        <v>0</v>
      </c>
      <c r="I488" s="133"/>
    </row>
    <row r="489" spans="1:9">
      <c r="A489" s="115"/>
      <c r="B489" s="116" t="s">
        <v>311</v>
      </c>
      <c r="C489" s="112"/>
      <c r="D489" s="150" t="s">
        <v>312</v>
      </c>
      <c r="E489" s="50">
        <f>162/7.5345</f>
        <v>21.501094963169418</v>
      </c>
      <c r="F489" s="50"/>
      <c r="G489" s="50">
        <f>SUM(#REF!)</f>
        <v>0</v>
      </c>
      <c r="H489" s="235">
        <f>SUM(G490/E490*100)</f>
        <v>35410.987268518526</v>
      </c>
      <c r="I489" s="236"/>
    </row>
    <row r="490" spans="1:9" s="58" customFormat="1">
      <c r="A490" s="138"/>
      <c r="B490" s="139"/>
      <c r="C490" s="139" t="s">
        <v>90</v>
      </c>
      <c r="D490" s="140" t="s">
        <v>91</v>
      </c>
      <c r="E490" s="56">
        <f>SUM(E485)</f>
        <v>21.501094963169418</v>
      </c>
      <c r="F490" s="56">
        <f t="shared" ref="F490:G490" si="133">SUM(F485)</f>
        <v>0</v>
      </c>
      <c r="G490" s="56">
        <f t="shared" si="133"/>
        <v>7613.75</v>
      </c>
      <c r="H490" s="142">
        <f>G490/E490*100</f>
        <v>35410.987268518526</v>
      </c>
      <c r="I490" s="142" t="e">
        <f>G490/F490*100</f>
        <v>#DIV/0!</v>
      </c>
    </row>
    <row r="491" spans="1:9" hidden="1">
      <c r="A491" s="60"/>
      <c r="B491" s="106">
        <v>42</v>
      </c>
      <c r="C491" s="107"/>
      <c r="D491" s="108" t="s">
        <v>341</v>
      </c>
      <c r="E491" s="109">
        <f>SUM(E492)</f>
        <v>0</v>
      </c>
      <c r="F491" s="109">
        <f>SUM(#REF!)</f>
        <v>0</v>
      </c>
      <c r="G491" s="109">
        <f>SUM(G492)</f>
        <v>0</v>
      </c>
      <c r="H491" s="110" t="e">
        <f>G491/E491*100</f>
        <v>#DIV/0!</v>
      </c>
      <c r="I491" s="110" t="e">
        <f>G491/F491*100</f>
        <v>#DIV/0!</v>
      </c>
    </row>
    <row r="492" spans="1:9" hidden="1">
      <c r="A492" s="60"/>
      <c r="B492" s="151">
        <v>422</v>
      </c>
      <c r="C492" s="34"/>
      <c r="D492" s="168" t="s">
        <v>294</v>
      </c>
      <c r="E492" s="38">
        <f>SUM(E493)</f>
        <v>0</v>
      </c>
      <c r="F492" s="38"/>
      <c r="G492" s="38">
        <f>SUM(G493)</f>
        <v>0</v>
      </c>
      <c r="H492" s="133" t="e">
        <f t="shared" si="117"/>
        <v>#DIV/0!</v>
      </c>
      <c r="I492" s="133"/>
    </row>
    <row r="493" spans="1:9" hidden="1">
      <c r="A493" s="115"/>
      <c r="B493" s="245" t="s">
        <v>297</v>
      </c>
      <c r="C493" s="47"/>
      <c r="D493" s="164" t="s">
        <v>339</v>
      </c>
      <c r="E493" s="50">
        <v>0</v>
      </c>
      <c r="F493" s="50"/>
      <c r="G493" s="50">
        <f>SUM(#REF!)</f>
        <v>0</v>
      </c>
      <c r="H493" s="235" t="e">
        <f t="shared" si="117"/>
        <v>#DIV/0!</v>
      </c>
      <c r="I493" s="236"/>
    </row>
    <row r="494" spans="1:9" hidden="1">
      <c r="A494" s="138"/>
      <c r="B494" s="221"/>
      <c r="C494" s="222" t="s">
        <v>342</v>
      </c>
      <c r="D494" s="223" t="s">
        <v>343</v>
      </c>
      <c r="E494" s="224">
        <f>SUM(E491)</f>
        <v>0</v>
      </c>
      <c r="F494" s="225">
        <f>SUM(F491)</f>
        <v>0</v>
      </c>
      <c r="G494" s="224">
        <f>SUM(G491)</f>
        <v>0</v>
      </c>
      <c r="H494" s="110" t="e">
        <f>G494/E494*100</f>
        <v>#DIV/0!</v>
      </c>
      <c r="I494" s="110" t="e">
        <f>G494/F494*100</f>
        <v>#DIV/0!</v>
      </c>
    </row>
    <row r="495" spans="1:9">
      <c r="A495" s="336" t="s">
        <v>344</v>
      </c>
      <c r="B495" s="337"/>
      <c r="C495" s="337"/>
      <c r="D495" s="338"/>
      <c r="E495" s="196">
        <f>E496-E400</f>
        <v>12180960.176521339</v>
      </c>
      <c r="F495" s="196">
        <f>F496-F400</f>
        <v>13618735</v>
      </c>
      <c r="G495" s="196">
        <f>G104</f>
        <v>6858298.5799999991</v>
      </c>
      <c r="H495" s="235"/>
      <c r="I495" s="235"/>
    </row>
    <row r="496" spans="1:9">
      <c r="A496" s="339" t="s">
        <v>345</v>
      </c>
      <c r="B496" s="339"/>
      <c r="C496" s="339"/>
      <c r="D496" s="339"/>
      <c r="E496" s="125">
        <f>E160+E168+E215+E266+E316+E334+E370+E389+E425+E433+E443+E463+E475+E484+E490</f>
        <v>13189841.321919175</v>
      </c>
      <c r="F496" s="125">
        <f>F160+F168+F215+F266+F316+F334+F370+F389+F425+F433+F443+F463+F475+F484+F490</f>
        <v>14753392</v>
      </c>
      <c r="G496" s="125">
        <f>G160+G168+G215+G266+G316+G334+G370+G389+G425+G433+G443+G463+G475+G484+G490</f>
        <v>6990954.7499999991</v>
      </c>
      <c r="H496" s="114">
        <f t="shared" si="117"/>
        <v>13.148840238033104</v>
      </c>
      <c r="I496" s="114">
        <f t="shared" ref="I496" si="134">SUM(G497/F497*100)</f>
        <v>11.691301424130815</v>
      </c>
    </row>
    <row r="497" spans="4:7">
      <c r="D497" s="239">
        <v>4</v>
      </c>
      <c r="E497" s="246">
        <f>E496-E495</f>
        <v>1008881.1453978363</v>
      </c>
      <c r="F497" s="21">
        <f>F425+F433+F443+F463+F475+F484+F490</f>
        <v>1134657</v>
      </c>
      <c r="G497" s="21">
        <f>G425+G433+G443+G463+G475+G484+G490</f>
        <v>132656.16999999998</v>
      </c>
    </row>
    <row r="498" spans="4:7">
      <c r="E498" s="246"/>
    </row>
  </sheetData>
  <mergeCells count="9">
    <mergeCell ref="A103:D103"/>
    <mergeCell ref="A495:D495"/>
    <mergeCell ref="A496:D496"/>
    <mergeCell ref="A1:I1"/>
    <mergeCell ref="A2:I2"/>
    <mergeCell ref="A4:D4"/>
    <mergeCell ref="A97:D97"/>
    <mergeCell ref="A98:D98"/>
    <mergeCell ref="A101:I101"/>
  </mergeCells>
  <dataValidations count="1">
    <dataValidation type="whole" allowBlank="1" showInputMessage="1" showErrorMessage="1" errorTitle="GREŠKA" error="U ovo polje je dozvoljen unos samo brojčanih vrijednosti (bez decimala!)" sqref="F113 F122:F125 F127 F171 F173 F175 F182:F186 F189 F207" xr:uid="{5490BD27-DF1D-4112-9B1C-73FC33AFC920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F82C-9E24-43D5-8974-889B2EE52088}">
  <sheetPr>
    <pageSetUpPr fitToPage="1"/>
  </sheetPr>
  <dimension ref="A1:N2551"/>
  <sheetViews>
    <sheetView zoomScale="80" zoomScaleNormal="80" workbookViewId="0">
      <pane xSplit="5" ySplit="6" topLeftCell="F2022" activePane="bottomRight" state="frozen"/>
      <selection pane="topRight" activeCell="H1" sqref="H1"/>
      <selection pane="bottomLeft" activeCell="A6" sqref="A6"/>
      <selection pane="bottomRight" activeCell="F2040" sqref="F2040"/>
    </sheetView>
  </sheetViews>
  <sheetFormatPr defaultRowHeight="15"/>
  <cols>
    <col min="1" max="1" width="12.28515625" style="249" customWidth="1"/>
    <col min="2" max="2" width="36.140625" style="252" customWidth="1"/>
    <col min="3" max="3" width="8.42578125" style="249" customWidth="1"/>
    <col min="4" max="4" width="43.28515625" style="249" customWidth="1"/>
    <col min="5" max="5" width="12" style="255" customWidth="1"/>
    <col min="6" max="6" width="14" style="256" customWidth="1"/>
    <col min="7" max="7" width="15.140625" style="257" customWidth="1"/>
    <col min="8" max="8" width="12.42578125" style="256" bestFit="1" customWidth="1"/>
    <col min="9" max="10" width="12" style="255" customWidth="1"/>
    <col min="11" max="11" width="12.42578125" style="249" hidden="1" customWidth="1"/>
    <col min="12" max="12" width="11.7109375" style="249" hidden="1" customWidth="1"/>
    <col min="13" max="13" width="12.7109375" style="249" hidden="1" customWidth="1"/>
    <col min="14" max="14" width="12.5703125" style="249" hidden="1" customWidth="1"/>
    <col min="15" max="16384" width="9.140625" style="249"/>
  </cols>
  <sheetData>
    <row r="1" spans="1:14" ht="75" customHeight="1">
      <c r="A1" s="248" t="s">
        <v>346</v>
      </c>
      <c r="B1" s="248" t="s">
        <v>347</v>
      </c>
      <c r="C1" s="354"/>
      <c r="D1" s="354"/>
      <c r="E1" s="354"/>
      <c r="F1" s="354"/>
      <c r="G1" s="354"/>
      <c r="H1" s="354"/>
      <c r="I1" s="354"/>
      <c r="J1" s="354"/>
    </row>
    <row r="2" spans="1:14">
      <c r="A2" s="250" t="s">
        <v>348</v>
      </c>
      <c r="B2" s="251">
        <v>2452</v>
      </c>
      <c r="C2" s="354"/>
      <c r="D2" s="354"/>
      <c r="E2" s="354"/>
      <c r="F2" s="354"/>
      <c r="G2" s="354"/>
      <c r="H2" s="354"/>
      <c r="I2" s="354"/>
      <c r="J2" s="354"/>
    </row>
    <row r="3" spans="1:14" ht="15.75" thickBot="1">
      <c r="C3" s="355"/>
      <c r="D3" s="355"/>
      <c r="E3" s="355"/>
      <c r="F3" s="355"/>
      <c r="G3" s="355"/>
      <c r="H3" s="355"/>
      <c r="I3" s="355"/>
      <c r="J3" s="355"/>
    </row>
    <row r="4" spans="1:14" ht="24" thickBot="1">
      <c r="A4" s="356" t="s">
        <v>349</v>
      </c>
      <c r="B4" s="356"/>
      <c r="C4" s="356"/>
      <c r="D4" s="356"/>
      <c r="E4" s="356"/>
      <c r="F4" s="356"/>
      <c r="G4" s="356"/>
      <c r="H4" s="356"/>
      <c r="I4" s="356"/>
      <c r="J4" s="357"/>
      <c r="L4" s="253"/>
      <c r="M4" s="253"/>
      <c r="N4" s="254"/>
    </row>
    <row r="5" spans="1:14" ht="15.75" thickBot="1"/>
    <row r="6" spans="1:14" s="252" customFormat="1" ht="48" thickBot="1">
      <c r="A6" s="258" t="s">
        <v>350</v>
      </c>
      <c r="B6" s="258" t="s">
        <v>351</v>
      </c>
      <c r="C6" s="258" t="s">
        <v>352</v>
      </c>
      <c r="D6" s="258" t="s">
        <v>353</v>
      </c>
      <c r="E6" s="258" t="s">
        <v>354</v>
      </c>
      <c r="F6" s="259" t="s">
        <v>355</v>
      </c>
      <c r="G6" s="260" t="s">
        <v>356</v>
      </c>
      <c r="H6" s="259" t="s">
        <v>357</v>
      </c>
      <c r="I6" s="261" t="s">
        <v>358</v>
      </c>
      <c r="J6" s="262" t="s">
        <v>359</v>
      </c>
      <c r="L6" s="263" t="s">
        <v>360</v>
      </c>
      <c r="M6" s="263" t="s">
        <v>361</v>
      </c>
      <c r="N6" s="263" t="s">
        <v>362</v>
      </c>
    </row>
    <row r="7" spans="1:14" ht="30" hidden="1">
      <c r="A7" s="249" t="s">
        <v>363</v>
      </c>
      <c r="B7" s="252" t="s">
        <v>364</v>
      </c>
      <c r="C7" s="249">
        <v>11</v>
      </c>
      <c r="D7" s="249" t="s">
        <v>100</v>
      </c>
      <c r="E7" s="255" t="s">
        <v>84</v>
      </c>
      <c r="F7" s="256">
        <v>6500000</v>
      </c>
      <c r="G7" s="257">
        <v>13091311.608425286</v>
      </c>
      <c r="H7" s="256">
        <v>6500000</v>
      </c>
      <c r="L7" s="264">
        <v>13091311.608425286</v>
      </c>
      <c r="M7" s="264">
        <v>13153491.40725814</v>
      </c>
      <c r="N7" s="264">
        <v>13215989.739677744</v>
      </c>
    </row>
    <row r="8" spans="1:14" s="265" customFormat="1" hidden="1">
      <c r="B8" s="266"/>
      <c r="E8" s="267">
        <v>311</v>
      </c>
      <c r="F8" s="268">
        <v>6500000</v>
      </c>
      <c r="G8" s="269"/>
      <c r="H8" s="268">
        <v>6500000</v>
      </c>
      <c r="I8" s="267"/>
      <c r="J8" s="267"/>
      <c r="L8" s="270"/>
      <c r="M8" s="270"/>
      <c r="N8" s="270"/>
    </row>
    <row r="9" spans="1:14" s="265" customFormat="1" hidden="1">
      <c r="B9" s="266"/>
      <c r="E9" s="267">
        <v>3111</v>
      </c>
      <c r="F9" s="268">
        <v>6500000</v>
      </c>
      <c r="G9" s="269"/>
      <c r="H9" s="268">
        <v>6500000</v>
      </c>
      <c r="I9" s="267"/>
      <c r="J9" s="267"/>
      <c r="L9" s="270"/>
      <c r="M9" s="270"/>
      <c r="N9" s="270"/>
    </row>
    <row r="10" spans="1:14" s="265" customFormat="1" hidden="1">
      <c r="B10" s="266"/>
      <c r="E10" s="267"/>
      <c r="F10" s="268"/>
      <c r="G10" s="269"/>
      <c r="H10" s="268"/>
      <c r="I10" s="267"/>
      <c r="J10" s="267"/>
      <c r="L10" s="270"/>
      <c r="M10" s="270"/>
      <c r="N10" s="270"/>
    </row>
    <row r="11" spans="1:14" hidden="1">
      <c r="E11" s="255" t="s">
        <v>226</v>
      </c>
      <c r="L11" s="264">
        <v>231390.06966392579</v>
      </c>
      <c r="M11" s="264">
        <v>232489.10300863389</v>
      </c>
      <c r="N11" s="264">
        <v>233593.76646215247</v>
      </c>
    </row>
    <row r="12" spans="1:14" s="265" customFormat="1" hidden="1">
      <c r="B12" s="266"/>
      <c r="E12" s="267">
        <v>321</v>
      </c>
      <c r="F12" s="268"/>
      <c r="G12" s="269"/>
      <c r="H12" s="268"/>
      <c r="I12" s="267"/>
      <c r="J12" s="267"/>
      <c r="L12" s="270"/>
      <c r="M12" s="270"/>
      <c r="N12" s="270"/>
    </row>
    <row r="13" spans="1:14" s="265" customFormat="1" hidden="1">
      <c r="B13" s="266"/>
      <c r="E13" s="267">
        <v>3211</v>
      </c>
      <c r="F13" s="268"/>
      <c r="G13" s="269"/>
      <c r="H13" s="268"/>
      <c r="I13" s="267"/>
      <c r="J13" s="267"/>
      <c r="L13" s="270"/>
      <c r="M13" s="270"/>
      <c r="N13" s="270"/>
    </row>
    <row r="14" spans="1:14" ht="30" hidden="1">
      <c r="A14" s="249" t="s">
        <v>365</v>
      </c>
      <c r="B14" s="252" t="s">
        <v>366</v>
      </c>
      <c r="C14" s="249">
        <v>11</v>
      </c>
      <c r="D14" s="249" t="s">
        <v>100</v>
      </c>
      <c r="E14" s="255" t="s">
        <v>84</v>
      </c>
      <c r="L14" s="264">
        <v>125557.4852571174</v>
      </c>
      <c r="M14" s="264">
        <v>125557.4852571174</v>
      </c>
      <c r="N14" s="264">
        <v>125557.4852571174</v>
      </c>
    </row>
    <row r="15" spans="1:14" hidden="1">
      <c r="E15" s="255" t="s">
        <v>226</v>
      </c>
      <c r="L15" s="264">
        <v>1479453.6855455125</v>
      </c>
      <c r="M15" s="264">
        <v>1479453.6855455125</v>
      </c>
      <c r="N15" s="264">
        <v>1479453.6855455125</v>
      </c>
    </row>
    <row r="16" spans="1:14" hidden="1">
      <c r="E16" s="255" t="s">
        <v>192</v>
      </c>
      <c r="L16" s="264">
        <v>4482.9370920456513</v>
      </c>
      <c r="M16" s="264">
        <v>4482.9370920456513</v>
      </c>
      <c r="N16" s="264">
        <v>4482.9370920456513</v>
      </c>
    </row>
    <row r="17" spans="1:14" hidden="1">
      <c r="E17" s="255" t="s">
        <v>209</v>
      </c>
      <c r="L17" s="264">
        <v>3410.8505802706059</v>
      </c>
      <c r="M17" s="264">
        <v>3410.8505802706059</v>
      </c>
      <c r="N17" s="264">
        <v>3410.8505802706059</v>
      </c>
    </row>
    <row r="18" spans="1:14" hidden="1">
      <c r="E18" s="255" t="s">
        <v>283</v>
      </c>
      <c r="L18" s="264">
        <v>13449.545581966935</v>
      </c>
      <c r="M18" s="264">
        <v>13449.545581966935</v>
      </c>
      <c r="N18" s="264">
        <v>13449.545581966935</v>
      </c>
    </row>
    <row r="19" spans="1:14" hidden="1">
      <c r="E19" s="255" t="s">
        <v>367</v>
      </c>
      <c r="L19" s="264">
        <v>120544.37935582409</v>
      </c>
      <c r="M19" s="264">
        <v>120544.37935582409</v>
      </c>
      <c r="N19" s="264">
        <v>120544.37935582409</v>
      </c>
    </row>
    <row r="20" spans="1:14" ht="30" hidden="1">
      <c r="A20" s="249" t="s">
        <v>368</v>
      </c>
      <c r="B20" s="252" t="s">
        <v>369</v>
      </c>
      <c r="C20" s="249">
        <v>51</v>
      </c>
      <c r="D20" s="249" t="s">
        <v>109</v>
      </c>
      <c r="E20" s="255" t="s">
        <v>84</v>
      </c>
      <c r="L20" s="264">
        <v>20610</v>
      </c>
      <c r="M20" s="264">
        <v>0</v>
      </c>
      <c r="N20" s="264">
        <v>0</v>
      </c>
    </row>
    <row r="21" spans="1:14" hidden="1">
      <c r="E21" s="255" t="s">
        <v>226</v>
      </c>
      <c r="L21" s="264">
        <v>8624</v>
      </c>
      <c r="M21" s="264">
        <v>0</v>
      </c>
      <c r="N21" s="264">
        <v>0</v>
      </c>
    </row>
    <row r="22" spans="1:14" hidden="1">
      <c r="C22" s="249">
        <v>52</v>
      </c>
      <c r="D22" s="249" t="s">
        <v>69</v>
      </c>
      <c r="E22" s="255" t="s">
        <v>84</v>
      </c>
      <c r="L22" s="264">
        <v>1595638</v>
      </c>
      <c r="M22" s="264">
        <v>897294</v>
      </c>
      <c r="N22" s="264">
        <v>430064</v>
      </c>
    </row>
    <row r="23" spans="1:14" hidden="1">
      <c r="E23" s="255" t="s">
        <v>226</v>
      </c>
      <c r="L23" s="264">
        <v>207914</v>
      </c>
      <c r="M23" s="264">
        <v>22497</v>
      </c>
      <c r="N23" s="264">
        <v>50531</v>
      </c>
    </row>
    <row r="24" spans="1:14" hidden="1">
      <c r="C24" s="249">
        <v>61</v>
      </c>
      <c r="D24" s="249" t="s">
        <v>276</v>
      </c>
      <c r="E24" s="255" t="s">
        <v>84</v>
      </c>
      <c r="L24" s="264">
        <v>2227816</v>
      </c>
      <c r="M24" s="264">
        <v>151003</v>
      </c>
      <c r="N24" s="264">
        <v>60349</v>
      </c>
    </row>
    <row r="25" spans="1:14" hidden="1">
      <c r="E25" s="255" t="s">
        <v>226</v>
      </c>
      <c r="L25" s="264">
        <v>131536</v>
      </c>
      <c r="M25" s="264">
        <v>85449</v>
      </c>
      <c r="N25" s="264">
        <v>38664</v>
      </c>
    </row>
    <row r="26" spans="1:14" ht="30" hidden="1">
      <c r="A26" s="249" t="s">
        <v>370</v>
      </c>
      <c r="B26" s="252" t="s">
        <v>371</v>
      </c>
      <c r="C26" s="249">
        <v>31</v>
      </c>
      <c r="D26" s="249" t="s">
        <v>333</v>
      </c>
      <c r="E26" s="255" t="s">
        <v>84</v>
      </c>
      <c r="L26" s="264">
        <v>1174597</v>
      </c>
      <c r="M26" s="264">
        <v>1240958</v>
      </c>
      <c r="N26" s="264">
        <v>1307320</v>
      </c>
    </row>
    <row r="27" spans="1:14" hidden="1">
      <c r="E27" s="255" t="s">
        <v>226</v>
      </c>
      <c r="L27" s="264">
        <v>3175659</v>
      </c>
      <c r="M27" s="264">
        <v>3322318</v>
      </c>
      <c r="N27" s="264">
        <v>3404606</v>
      </c>
    </row>
    <row r="28" spans="1:14" hidden="1">
      <c r="E28" s="255" t="s">
        <v>192</v>
      </c>
      <c r="L28" s="264">
        <v>39949</v>
      </c>
      <c r="M28" s="264">
        <v>39949</v>
      </c>
      <c r="N28" s="264">
        <v>39949</v>
      </c>
    </row>
    <row r="29" spans="1:14" hidden="1">
      <c r="E29" s="255" t="s">
        <v>209</v>
      </c>
      <c r="L29" s="264">
        <v>6636</v>
      </c>
      <c r="M29" s="264">
        <v>6636</v>
      </c>
      <c r="N29" s="264">
        <v>6636</v>
      </c>
    </row>
    <row r="30" spans="1:14" hidden="1">
      <c r="E30" s="255" t="s">
        <v>215</v>
      </c>
      <c r="L30" s="264">
        <v>112814</v>
      </c>
      <c r="M30" s="264">
        <v>112816</v>
      </c>
      <c r="N30" s="264">
        <v>112814</v>
      </c>
    </row>
    <row r="31" spans="1:14" hidden="1">
      <c r="E31" s="255" t="s">
        <v>283</v>
      </c>
      <c r="L31" s="264">
        <v>24554</v>
      </c>
      <c r="M31" s="264">
        <v>24554</v>
      </c>
      <c r="N31" s="264">
        <v>24554</v>
      </c>
    </row>
    <row r="32" spans="1:14" hidden="1">
      <c r="E32" s="255" t="s">
        <v>367</v>
      </c>
      <c r="L32" s="264">
        <v>507265</v>
      </c>
      <c r="M32" s="264">
        <v>524917</v>
      </c>
      <c r="N32" s="264">
        <v>524919</v>
      </c>
    </row>
    <row r="33" spans="1:14" hidden="1">
      <c r="E33" s="255" t="s">
        <v>322</v>
      </c>
      <c r="L33" s="264">
        <v>53089</v>
      </c>
      <c r="M33" s="264">
        <v>61052</v>
      </c>
      <c r="N33" s="264">
        <v>61052</v>
      </c>
    </row>
    <row r="34" spans="1:14" hidden="1">
      <c r="C34" s="249">
        <v>43</v>
      </c>
      <c r="D34" s="249" t="s">
        <v>104</v>
      </c>
      <c r="E34" s="255" t="s">
        <v>84</v>
      </c>
      <c r="L34" s="264">
        <v>644367</v>
      </c>
      <c r="M34" s="264">
        <v>663613</v>
      </c>
      <c r="N34" s="264">
        <v>686178</v>
      </c>
    </row>
    <row r="35" spans="1:14" hidden="1">
      <c r="E35" s="255" t="s">
        <v>226</v>
      </c>
      <c r="L35" s="264">
        <v>641316</v>
      </c>
      <c r="M35" s="264">
        <v>653794</v>
      </c>
      <c r="N35" s="264">
        <v>659632</v>
      </c>
    </row>
    <row r="36" spans="1:14" hidden="1">
      <c r="E36" s="255" t="s">
        <v>192</v>
      </c>
      <c r="L36" s="264">
        <v>10353</v>
      </c>
      <c r="M36" s="264">
        <v>10353</v>
      </c>
      <c r="N36" s="264">
        <v>10751</v>
      </c>
    </row>
    <row r="37" spans="1:14" hidden="1">
      <c r="E37" s="255" t="s">
        <v>283</v>
      </c>
      <c r="L37" s="264">
        <v>9954</v>
      </c>
      <c r="M37" s="264">
        <v>12741</v>
      </c>
      <c r="N37" s="264">
        <v>14600</v>
      </c>
    </row>
    <row r="38" spans="1:14" hidden="1">
      <c r="E38" s="255" t="s">
        <v>367</v>
      </c>
      <c r="L38" s="264">
        <v>202668</v>
      </c>
      <c r="M38" s="264">
        <v>210765</v>
      </c>
      <c r="N38" s="264">
        <v>219259</v>
      </c>
    </row>
    <row r="39" spans="1:14" hidden="1">
      <c r="E39" s="255" t="s">
        <v>322</v>
      </c>
      <c r="L39" s="264">
        <v>69016</v>
      </c>
      <c r="M39" s="264">
        <v>72998</v>
      </c>
      <c r="N39" s="264">
        <v>72998</v>
      </c>
    </row>
    <row r="40" spans="1:14" ht="30" hidden="1">
      <c r="A40" s="249" t="s">
        <v>372</v>
      </c>
      <c r="B40" s="252" t="s">
        <v>373</v>
      </c>
      <c r="C40" s="249">
        <v>563</v>
      </c>
      <c r="D40" s="249" t="s">
        <v>374</v>
      </c>
      <c r="E40" s="255" t="s">
        <v>84</v>
      </c>
      <c r="L40" s="264">
        <v>463129</v>
      </c>
      <c r="M40" s="264">
        <v>0</v>
      </c>
      <c r="N40" s="264">
        <v>0</v>
      </c>
    </row>
    <row r="41" spans="1:14" hidden="1">
      <c r="E41" s="255" t="s">
        <v>226</v>
      </c>
      <c r="L41" s="264">
        <v>328611</v>
      </c>
      <c r="M41" s="264">
        <v>0</v>
      </c>
      <c r="N41" s="264">
        <v>0</v>
      </c>
    </row>
    <row r="42" spans="1:14" hidden="1">
      <c r="E42" s="255" t="s">
        <v>204</v>
      </c>
      <c r="L42" s="264">
        <v>619886</v>
      </c>
      <c r="M42" s="264">
        <v>0</v>
      </c>
      <c r="N42" s="264">
        <v>0</v>
      </c>
    </row>
    <row r="43" spans="1:14" ht="45" hidden="1">
      <c r="A43" s="249" t="s">
        <v>375</v>
      </c>
      <c r="B43" s="252" t="s">
        <v>376</v>
      </c>
      <c r="C43" s="249">
        <v>5761</v>
      </c>
      <c r="D43" s="249" t="s">
        <v>377</v>
      </c>
      <c r="E43" s="255" t="s">
        <v>226</v>
      </c>
      <c r="L43" s="264">
        <v>5584865.8054078333</v>
      </c>
      <c r="M43" s="264">
        <v>0</v>
      </c>
      <c r="N43" s="264">
        <v>0</v>
      </c>
    </row>
    <row r="44" spans="1:14" ht="45" hidden="1">
      <c r="A44" s="249" t="s">
        <v>378</v>
      </c>
      <c r="B44" s="252" t="s">
        <v>379</v>
      </c>
      <c r="C44" s="249">
        <v>581</v>
      </c>
      <c r="D44" s="249" t="s">
        <v>380</v>
      </c>
      <c r="E44" s="255" t="s">
        <v>226</v>
      </c>
      <c r="L44" s="264">
        <v>1364342.6958339566</v>
      </c>
      <c r="M44" s="264">
        <v>3078061</v>
      </c>
      <c r="N44" s="264">
        <v>928291.2560886601</v>
      </c>
    </row>
    <row r="45" spans="1:14" ht="30" hidden="1">
      <c r="A45" s="249" t="s">
        <v>363</v>
      </c>
      <c r="B45" s="252" t="s">
        <v>364</v>
      </c>
      <c r="C45" s="249">
        <v>11</v>
      </c>
      <c r="D45" s="249" t="s">
        <v>100</v>
      </c>
      <c r="E45" s="255" t="s">
        <v>84</v>
      </c>
      <c r="L45" s="264">
        <v>20575291.804628983</v>
      </c>
      <c r="M45" s="264">
        <v>20673018.261962388</v>
      </c>
      <c r="N45" s="264">
        <v>20771245.350683466</v>
      </c>
    </row>
    <row r="46" spans="1:14" hidden="1">
      <c r="E46" s="255" t="s">
        <v>226</v>
      </c>
      <c r="L46" s="264">
        <v>511721.43209992797</v>
      </c>
      <c r="M46" s="264">
        <v>514151.95523299265</v>
      </c>
      <c r="N46" s="264">
        <v>516594.92940748512</v>
      </c>
    </row>
    <row r="47" spans="1:14" ht="30" hidden="1">
      <c r="A47" s="249" t="s">
        <v>381</v>
      </c>
      <c r="B47" s="252" t="s">
        <v>382</v>
      </c>
      <c r="C47" s="249">
        <v>11</v>
      </c>
      <c r="D47" s="249" t="s">
        <v>100</v>
      </c>
      <c r="E47" s="255" t="s">
        <v>226</v>
      </c>
      <c r="L47" s="264">
        <v>78253</v>
      </c>
      <c r="M47" s="264">
        <v>78253</v>
      </c>
      <c r="N47" s="264">
        <v>78253</v>
      </c>
    </row>
    <row r="48" spans="1:14" hidden="1">
      <c r="A48" s="249" t="s">
        <v>383</v>
      </c>
      <c r="B48" s="252" t="s">
        <v>384</v>
      </c>
      <c r="C48" s="249">
        <v>11</v>
      </c>
      <c r="D48" s="249" t="s">
        <v>100</v>
      </c>
      <c r="E48" s="255" t="s">
        <v>84</v>
      </c>
      <c r="L48" s="264">
        <v>258912.24587839999</v>
      </c>
      <c r="M48" s="264">
        <v>258912.24587839999</v>
      </c>
      <c r="N48" s="264">
        <v>258912.24587839999</v>
      </c>
    </row>
    <row r="49" spans="1:14" ht="30" hidden="1">
      <c r="A49" s="249" t="s">
        <v>385</v>
      </c>
      <c r="B49" s="252" t="s">
        <v>386</v>
      </c>
      <c r="C49" s="249">
        <v>11</v>
      </c>
      <c r="D49" s="249" t="s">
        <v>100</v>
      </c>
      <c r="E49" s="255" t="s">
        <v>226</v>
      </c>
      <c r="L49" s="264">
        <v>144612</v>
      </c>
      <c r="M49" s="264">
        <v>177129</v>
      </c>
      <c r="N49" s="264">
        <v>177129</v>
      </c>
    </row>
    <row r="50" spans="1:14" hidden="1">
      <c r="E50" s="255" t="s">
        <v>192</v>
      </c>
      <c r="L50" s="264">
        <v>5309</v>
      </c>
      <c r="M50" s="264">
        <v>5309</v>
      </c>
      <c r="N50" s="264">
        <v>5309</v>
      </c>
    </row>
    <row r="51" spans="1:14" hidden="1">
      <c r="E51" s="255" t="s">
        <v>283</v>
      </c>
      <c r="L51" s="264">
        <v>2654</v>
      </c>
      <c r="M51" s="264">
        <v>2654</v>
      </c>
      <c r="N51" s="264">
        <v>2654</v>
      </c>
    </row>
    <row r="52" spans="1:14" hidden="1">
      <c r="E52" s="255" t="s">
        <v>367</v>
      </c>
      <c r="L52" s="264">
        <v>35890</v>
      </c>
      <c r="M52" s="264">
        <v>35890</v>
      </c>
      <c r="N52" s="264">
        <v>35890</v>
      </c>
    </row>
    <row r="53" spans="1:14" ht="30" hidden="1">
      <c r="A53" s="249" t="s">
        <v>365</v>
      </c>
      <c r="B53" s="252" t="s">
        <v>366</v>
      </c>
      <c r="C53" s="249">
        <v>11</v>
      </c>
      <c r="D53" s="249" t="s">
        <v>100</v>
      </c>
      <c r="E53" s="255" t="s">
        <v>226</v>
      </c>
      <c r="L53" s="264">
        <v>1424623.2745280964</v>
      </c>
      <c r="M53" s="264">
        <v>1424623.2745280964</v>
      </c>
      <c r="N53" s="264">
        <v>1424623.2745280964</v>
      </c>
    </row>
    <row r="54" spans="1:14" hidden="1">
      <c r="E54" s="255" t="s">
        <v>192</v>
      </c>
      <c r="L54" s="264">
        <v>5201.1628590212149</v>
      </c>
      <c r="M54" s="264">
        <v>5201.1628590212149</v>
      </c>
      <c r="N54" s="264">
        <v>5201.1628590212149</v>
      </c>
    </row>
    <row r="55" spans="1:14" hidden="1">
      <c r="E55" s="255" t="s">
        <v>283</v>
      </c>
      <c r="L55" s="264">
        <v>1238.3721092907654</v>
      </c>
      <c r="M55" s="264">
        <v>1238.3721092907654</v>
      </c>
      <c r="N55" s="264">
        <v>1238.3721092907654</v>
      </c>
    </row>
    <row r="56" spans="1:14" hidden="1">
      <c r="E56" s="255" t="s">
        <v>367</v>
      </c>
      <c r="L56" s="264">
        <v>238035.75894083994</v>
      </c>
      <c r="M56" s="264">
        <v>238035.75894083994</v>
      </c>
      <c r="N56" s="264">
        <v>238035.75894083994</v>
      </c>
    </row>
    <row r="57" spans="1:14" ht="30" hidden="1">
      <c r="A57" s="249" t="s">
        <v>368</v>
      </c>
      <c r="B57" s="252" t="s">
        <v>369</v>
      </c>
      <c r="C57" s="249">
        <v>51</v>
      </c>
      <c r="D57" s="249" t="s">
        <v>109</v>
      </c>
      <c r="L57" s="264"/>
      <c r="M57" s="264"/>
      <c r="N57" s="264"/>
    </row>
    <row r="58" spans="1:14" hidden="1">
      <c r="E58" s="255" t="s">
        <v>84</v>
      </c>
      <c r="L58" s="264">
        <v>300689</v>
      </c>
      <c r="M58" s="264">
        <v>227400</v>
      </c>
      <c r="N58" s="264">
        <v>219200</v>
      </c>
    </row>
    <row r="59" spans="1:14" hidden="1">
      <c r="E59" s="255" t="s">
        <v>226</v>
      </c>
      <c r="L59" s="264">
        <v>179356</v>
      </c>
      <c r="M59" s="264">
        <v>133400</v>
      </c>
      <c r="N59" s="264">
        <v>133400</v>
      </c>
    </row>
    <row r="60" spans="1:14" hidden="1">
      <c r="E60" s="255" t="s">
        <v>192</v>
      </c>
      <c r="L60" s="264">
        <v>2500</v>
      </c>
      <c r="M60" s="264">
        <v>1500</v>
      </c>
      <c r="N60" s="264">
        <v>1500</v>
      </c>
    </row>
    <row r="61" spans="1:14" hidden="1">
      <c r="E61" s="255" t="s">
        <v>283</v>
      </c>
      <c r="L61" s="264">
        <v>5500</v>
      </c>
      <c r="M61" s="264">
        <v>5000</v>
      </c>
      <c r="N61" s="264">
        <v>5000</v>
      </c>
    </row>
    <row r="62" spans="1:14" hidden="1">
      <c r="E62" s="255" t="s">
        <v>367</v>
      </c>
      <c r="L62" s="264">
        <v>21250</v>
      </c>
      <c r="M62" s="264">
        <v>14000</v>
      </c>
      <c r="N62" s="264">
        <v>14000</v>
      </c>
    </row>
    <row r="63" spans="1:14" hidden="1">
      <c r="E63" s="255" t="s">
        <v>322</v>
      </c>
      <c r="L63" s="264">
        <v>2700</v>
      </c>
      <c r="M63" s="264">
        <v>0</v>
      </c>
      <c r="N63" s="264">
        <v>0</v>
      </c>
    </row>
    <row r="64" spans="1:14" hidden="1">
      <c r="C64" s="249">
        <v>52</v>
      </c>
      <c r="D64" s="249" t="s">
        <v>69</v>
      </c>
      <c r="E64" s="255" t="s">
        <v>84</v>
      </c>
      <c r="L64" s="264">
        <v>411802</v>
      </c>
      <c r="M64" s="264">
        <v>101098</v>
      </c>
      <c r="N64" s="264">
        <v>0</v>
      </c>
    </row>
    <row r="65" spans="1:14" hidden="1">
      <c r="E65" s="255" t="s">
        <v>226</v>
      </c>
      <c r="L65" s="264">
        <v>454349</v>
      </c>
      <c r="M65" s="264">
        <v>170789</v>
      </c>
      <c r="N65" s="264">
        <v>0</v>
      </c>
    </row>
    <row r="66" spans="1:14" hidden="1">
      <c r="E66" s="255" t="s">
        <v>192</v>
      </c>
      <c r="L66" s="264">
        <v>15</v>
      </c>
      <c r="M66" s="264">
        <v>0</v>
      </c>
      <c r="N66" s="264">
        <v>0</v>
      </c>
    </row>
    <row r="67" spans="1:14" hidden="1">
      <c r="E67" s="255" t="s">
        <v>204</v>
      </c>
      <c r="L67" s="264">
        <v>102304</v>
      </c>
      <c r="M67" s="264">
        <v>25576</v>
      </c>
      <c r="N67" s="264">
        <v>0</v>
      </c>
    </row>
    <row r="68" spans="1:14" hidden="1">
      <c r="E68" s="255" t="s">
        <v>283</v>
      </c>
      <c r="L68" s="264">
        <v>11348</v>
      </c>
      <c r="M68" s="264">
        <v>4424</v>
      </c>
      <c r="N68" s="264">
        <v>0</v>
      </c>
    </row>
    <row r="69" spans="1:14" hidden="1">
      <c r="E69" s="255" t="s">
        <v>367</v>
      </c>
      <c r="L69" s="264">
        <v>694654</v>
      </c>
      <c r="M69" s="264">
        <v>885</v>
      </c>
      <c r="N69" s="264">
        <v>0</v>
      </c>
    </row>
    <row r="70" spans="1:14" hidden="1">
      <c r="E70" s="255" t="s">
        <v>322</v>
      </c>
      <c r="L70" s="264">
        <v>15484</v>
      </c>
      <c r="M70" s="264">
        <v>2212</v>
      </c>
      <c r="N70" s="264">
        <v>0</v>
      </c>
    </row>
    <row r="71" spans="1:14" hidden="1">
      <c r="C71" s="249">
        <v>61</v>
      </c>
      <c r="D71" s="249" t="s">
        <v>276</v>
      </c>
      <c r="E71" s="255" t="s">
        <v>84</v>
      </c>
      <c r="L71" s="264">
        <v>74750</v>
      </c>
      <c r="M71" s="264">
        <v>0</v>
      </c>
      <c r="N71" s="264">
        <v>0</v>
      </c>
    </row>
    <row r="72" spans="1:14" hidden="1">
      <c r="E72" s="255" t="s">
        <v>226</v>
      </c>
      <c r="L72" s="264">
        <v>369110</v>
      </c>
      <c r="M72" s="264">
        <v>0</v>
      </c>
      <c r="N72" s="264">
        <v>0</v>
      </c>
    </row>
    <row r="73" spans="1:14" ht="30" hidden="1">
      <c r="A73" s="249" t="s">
        <v>370</v>
      </c>
      <c r="B73" s="252" t="s">
        <v>371</v>
      </c>
      <c r="C73" s="249">
        <v>31</v>
      </c>
      <c r="D73" s="249" t="s">
        <v>333</v>
      </c>
      <c r="E73" s="255" t="s">
        <v>84</v>
      </c>
      <c r="L73" s="264">
        <v>618445</v>
      </c>
      <c r="M73" s="264">
        <v>501000</v>
      </c>
      <c r="N73" s="264">
        <v>501000</v>
      </c>
    </row>
    <row r="74" spans="1:14" hidden="1">
      <c r="E74" s="255" t="s">
        <v>226</v>
      </c>
      <c r="L74" s="264">
        <v>934500</v>
      </c>
      <c r="M74" s="264">
        <v>860420</v>
      </c>
      <c r="N74" s="264">
        <v>860420</v>
      </c>
    </row>
    <row r="75" spans="1:14" hidden="1">
      <c r="E75" s="255" t="s">
        <v>192</v>
      </c>
      <c r="L75" s="264">
        <v>5850</v>
      </c>
      <c r="M75" s="264">
        <v>5850</v>
      </c>
      <c r="N75" s="264">
        <v>5850</v>
      </c>
    </row>
    <row r="76" spans="1:14" hidden="1">
      <c r="E76" s="255" t="s">
        <v>209</v>
      </c>
      <c r="L76" s="264">
        <v>6500</v>
      </c>
      <c r="M76" s="264">
        <v>6500</v>
      </c>
      <c r="N76" s="264">
        <v>6500</v>
      </c>
    </row>
    <row r="77" spans="1:14" hidden="1">
      <c r="E77" s="255" t="s">
        <v>367</v>
      </c>
      <c r="L77" s="264">
        <v>171000</v>
      </c>
      <c r="M77" s="264">
        <v>171000</v>
      </c>
      <c r="N77" s="264">
        <v>171000</v>
      </c>
    </row>
    <row r="78" spans="1:14" hidden="1">
      <c r="C78" s="249">
        <v>43</v>
      </c>
      <c r="D78" s="249" t="s">
        <v>104</v>
      </c>
      <c r="E78" s="255" t="s">
        <v>84</v>
      </c>
      <c r="L78" s="264">
        <v>412300</v>
      </c>
      <c r="M78" s="264">
        <v>412300</v>
      </c>
      <c r="N78" s="264">
        <v>353800</v>
      </c>
    </row>
    <row r="79" spans="1:14" hidden="1">
      <c r="E79" s="255" t="s">
        <v>226</v>
      </c>
      <c r="L79" s="264">
        <v>792650</v>
      </c>
      <c r="M79" s="264">
        <v>792650</v>
      </c>
      <c r="N79" s="264">
        <v>800717</v>
      </c>
    </row>
    <row r="80" spans="1:14" hidden="1">
      <c r="E80" s="255" t="s">
        <v>192</v>
      </c>
      <c r="L80" s="264">
        <v>800</v>
      </c>
      <c r="M80" s="264">
        <v>800</v>
      </c>
      <c r="N80" s="264">
        <v>800</v>
      </c>
    </row>
    <row r="81" spans="1:14" hidden="1">
      <c r="E81" s="255" t="s">
        <v>283</v>
      </c>
      <c r="L81" s="264">
        <v>2500</v>
      </c>
      <c r="M81" s="264">
        <v>2500</v>
      </c>
      <c r="N81" s="264">
        <v>2500</v>
      </c>
    </row>
    <row r="82" spans="1:14" hidden="1">
      <c r="E82" s="255" t="s">
        <v>367</v>
      </c>
      <c r="L82" s="264">
        <v>60250</v>
      </c>
      <c r="M82" s="264">
        <v>60250</v>
      </c>
      <c r="N82" s="264">
        <v>60250</v>
      </c>
    </row>
    <row r="83" spans="1:14" hidden="1">
      <c r="E83" s="255" t="s">
        <v>322</v>
      </c>
      <c r="L83" s="264">
        <v>33000</v>
      </c>
      <c r="M83" s="264">
        <v>33000</v>
      </c>
      <c r="N83" s="264">
        <v>33000</v>
      </c>
    </row>
    <row r="84" spans="1:14" hidden="1">
      <c r="C84" s="249">
        <v>52</v>
      </c>
      <c r="D84" s="249" t="s">
        <v>69</v>
      </c>
      <c r="E84" s="255" t="s">
        <v>84</v>
      </c>
      <c r="L84" s="264">
        <v>892156</v>
      </c>
      <c r="M84" s="264">
        <v>492100</v>
      </c>
      <c r="N84" s="264">
        <v>376991</v>
      </c>
    </row>
    <row r="85" spans="1:14" hidden="1">
      <c r="E85" s="255" t="s">
        <v>226</v>
      </c>
      <c r="L85" s="264">
        <v>1184617</v>
      </c>
      <c r="M85" s="264">
        <v>552412</v>
      </c>
      <c r="N85" s="264">
        <v>421450</v>
      </c>
    </row>
    <row r="86" spans="1:14" hidden="1">
      <c r="E86" s="255" t="s">
        <v>192</v>
      </c>
      <c r="L86" s="264">
        <v>4911</v>
      </c>
      <c r="M86" s="264">
        <v>2500</v>
      </c>
      <c r="N86" s="264">
        <v>1250</v>
      </c>
    </row>
    <row r="87" spans="1:14" hidden="1">
      <c r="E87" s="255" t="s">
        <v>283</v>
      </c>
      <c r="L87" s="264">
        <v>21236</v>
      </c>
      <c r="M87" s="264">
        <v>10000</v>
      </c>
      <c r="N87" s="264">
        <v>5000</v>
      </c>
    </row>
    <row r="88" spans="1:14" hidden="1">
      <c r="E88" s="255" t="s">
        <v>367</v>
      </c>
      <c r="L88" s="264">
        <v>325849</v>
      </c>
      <c r="M88" s="264">
        <v>114100</v>
      </c>
      <c r="N88" s="264">
        <v>81200</v>
      </c>
    </row>
    <row r="89" spans="1:14" hidden="1">
      <c r="E89" s="255" t="s">
        <v>322</v>
      </c>
      <c r="L89" s="264">
        <v>19908</v>
      </c>
      <c r="M89" s="264">
        <v>10000</v>
      </c>
      <c r="N89" s="264">
        <v>5000</v>
      </c>
    </row>
    <row r="90" spans="1:14" hidden="1">
      <c r="C90" s="249">
        <v>71</v>
      </c>
      <c r="D90" s="249" t="s">
        <v>387</v>
      </c>
      <c r="E90" s="255" t="s">
        <v>367</v>
      </c>
      <c r="L90" s="264">
        <v>3300</v>
      </c>
      <c r="M90" s="264">
        <v>3300</v>
      </c>
      <c r="N90" s="264">
        <v>3300</v>
      </c>
    </row>
    <row r="91" spans="1:14" ht="30" hidden="1">
      <c r="A91" s="249" t="s">
        <v>372</v>
      </c>
      <c r="B91" s="252" t="s">
        <v>373</v>
      </c>
      <c r="C91" s="249">
        <v>12</v>
      </c>
      <c r="D91" s="249" t="s">
        <v>102</v>
      </c>
      <c r="E91" s="255" t="s">
        <v>84</v>
      </c>
      <c r="L91" s="264">
        <v>115234</v>
      </c>
      <c r="M91" s="264">
        <v>0</v>
      </c>
      <c r="N91" s="264">
        <v>0</v>
      </c>
    </row>
    <row r="92" spans="1:14" hidden="1">
      <c r="E92" s="255" t="s">
        <v>226</v>
      </c>
      <c r="L92" s="264">
        <v>214053</v>
      </c>
      <c r="M92" s="264">
        <v>0</v>
      </c>
      <c r="N92" s="264">
        <v>0</v>
      </c>
    </row>
    <row r="93" spans="1:14" hidden="1">
      <c r="E93" s="255" t="s">
        <v>283</v>
      </c>
      <c r="L93" s="264">
        <v>1246</v>
      </c>
      <c r="M93" s="264">
        <v>0</v>
      </c>
      <c r="N93" s="264">
        <v>0</v>
      </c>
    </row>
    <row r="94" spans="1:14" hidden="1">
      <c r="E94" s="255" t="s">
        <v>367</v>
      </c>
      <c r="L94" s="264">
        <v>1277</v>
      </c>
      <c r="M94" s="264">
        <v>0</v>
      </c>
      <c r="N94" s="264">
        <v>0</v>
      </c>
    </row>
    <row r="95" spans="1:14" hidden="1">
      <c r="C95" s="249">
        <v>563</v>
      </c>
      <c r="D95" s="249" t="s">
        <v>374</v>
      </c>
      <c r="E95" s="255" t="s">
        <v>84</v>
      </c>
      <c r="L95" s="264">
        <v>670953</v>
      </c>
      <c r="M95" s="264">
        <v>0</v>
      </c>
      <c r="N95" s="264">
        <v>0</v>
      </c>
    </row>
    <row r="96" spans="1:14" hidden="1">
      <c r="E96" s="255" t="s">
        <v>226</v>
      </c>
      <c r="L96" s="264">
        <v>1452539</v>
      </c>
      <c r="M96" s="264">
        <v>0</v>
      </c>
      <c r="N96" s="264">
        <v>0</v>
      </c>
    </row>
    <row r="97" spans="1:14" hidden="1">
      <c r="E97" s="255" t="s">
        <v>204</v>
      </c>
      <c r="L97" s="264">
        <v>85669</v>
      </c>
      <c r="M97" s="264">
        <v>0</v>
      </c>
      <c r="N97" s="264">
        <v>0</v>
      </c>
    </row>
    <row r="98" spans="1:14" hidden="1">
      <c r="E98" s="255" t="s">
        <v>283</v>
      </c>
      <c r="L98" s="264">
        <v>7058</v>
      </c>
      <c r="M98" s="264">
        <v>0</v>
      </c>
      <c r="N98" s="264">
        <v>0</v>
      </c>
    </row>
    <row r="99" spans="1:14" hidden="1">
      <c r="E99" s="255" t="s">
        <v>367</v>
      </c>
      <c r="L99" s="264">
        <v>41401</v>
      </c>
      <c r="M99" s="264">
        <v>0</v>
      </c>
      <c r="N99" s="264">
        <v>0</v>
      </c>
    </row>
    <row r="100" spans="1:14" ht="30" hidden="1">
      <c r="A100" s="249" t="s">
        <v>388</v>
      </c>
      <c r="B100" s="252" t="s">
        <v>389</v>
      </c>
      <c r="C100" s="249">
        <v>12</v>
      </c>
      <c r="D100" s="249" t="s">
        <v>102</v>
      </c>
      <c r="E100" s="255" t="s">
        <v>84</v>
      </c>
      <c r="L100" s="264">
        <v>5061.4549441323998</v>
      </c>
      <c r="M100" s="264"/>
      <c r="N100" s="264"/>
    </row>
    <row r="101" spans="1:14" hidden="1">
      <c r="C101" s="249">
        <v>561</v>
      </c>
      <c r="D101" s="249" t="s">
        <v>390</v>
      </c>
      <c r="E101" s="255" t="s">
        <v>84</v>
      </c>
      <c r="L101" s="264">
        <v>28681.578016750263</v>
      </c>
      <c r="M101" s="264"/>
      <c r="N101" s="264"/>
    </row>
    <row r="102" spans="1:14" ht="45" hidden="1">
      <c r="A102" s="249" t="s">
        <v>375</v>
      </c>
      <c r="B102" s="252" t="s">
        <v>376</v>
      </c>
      <c r="C102" s="249">
        <v>5761</v>
      </c>
      <c r="D102" s="249" t="s">
        <v>377</v>
      </c>
      <c r="E102" s="255" t="s">
        <v>226</v>
      </c>
      <c r="L102" s="264">
        <v>349125.88697601261</v>
      </c>
      <c r="M102" s="264"/>
      <c r="N102" s="264">
        <v>0</v>
      </c>
    </row>
    <row r="103" spans="1:14" hidden="1">
      <c r="E103" s="255" t="s">
        <v>367</v>
      </c>
      <c r="L103" s="264">
        <v>3464240.513080487</v>
      </c>
      <c r="M103" s="264"/>
      <c r="N103" s="264">
        <v>0</v>
      </c>
    </row>
    <row r="104" spans="1:14" ht="45" hidden="1">
      <c r="A104" s="249" t="s">
        <v>378</v>
      </c>
      <c r="B104" s="252" t="s">
        <v>379</v>
      </c>
      <c r="C104" s="249">
        <v>581</v>
      </c>
      <c r="D104" s="249" t="s">
        <v>380</v>
      </c>
      <c r="E104" s="255" t="s">
        <v>226</v>
      </c>
      <c r="L104" s="264">
        <v>280271.6178553697</v>
      </c>
      <c r="M104" s="264">
        <v>366540</v>
      </c>
      <c r="N104" s="264">
        <v>0</v>
      </c>
    </row>
    <row r="105" spans="1:14" hidden="1">
      <c r="E105" s="255" t="s">
        <v>367</v>
      </c>
      <c r="L105" s="264">
        <v>2859976.4854989937</v>
      </c>
      <c r="M105" s="264">
        <v>4052519</v>
      </c>
      <c r="N105" s="264">
        <v>0</v>
      </c>
    </row>
    <row r="106" spans="1:14" ht="30" hidden="1">
      <c r="A106" s="249" t="s">
        <v>391</v>
      </c>
      <c r="B106" s="252" t="s">
        <v>392</v>
      </c>
      <c r="C106" s="249">
        <v>581</v>
      </c>
      <c r="D106" s="249" t="s">
        <v>380</v>
      </c>
      <c r="E106" s="255" t="s">
        <v>84</v>
      </c>
      <c r="L106" s="264">
        <v>218595</v>
      </c>
      <c r="M106" s="264">
        <v>218595</v>
      </c>
      <c r="N106" s="264">
        <v>218595</v>
      </c>
    </row>
    <row r="107" spans="1:14" hidden="1">
      <c r="E107" s="255" t="s">
        <v>226</v>
      </c>
      <c r="L107" s="264">
        <v>469630</v>
      </c>
      <c r="M107" s="264">
        <v>181157</v>
      </c>
      <c r="N107" s="264">
        <v>181157</v>
      </c>
    </row>
    <row r="108" spans="1:14" hidden="1">
      <c r="E108" s="255" t="s">
        <v>283</v>
      </c>
      <c r="L108" s="264">
        <v>181830</v>
      </c>
      <c r="M108" s="264">
        <v>0</v>
      </c>
      <c r="N108" s="264">
        <v>0</v>
      </c>
    </row>
    <row r="109" spans="1:14" hidden="1">
      <c r="E109" s="255" t="s">
        <v>367</v>
      </c>
      <c r="L109" s="264">
        <v>5496857</v>
      </c>
      <c r="M109" s="264">
        <v>1803022</v>
      </c>
      <c r="N109" s="264">
        <v>396585</v>
      </c>
    </row>
    <row r="110" spans="1:14" hidden="1">
      <c r="E110" s="255" t="s">
        <v>322</v>
      </c>
      <c r="L110" s="264">
        <v>54217</v>
      </c>
      <c r="M110" s="264">
        <v>0</v>
      </c>
      <c r="N110" s="264">
        <v>0</v>
      </c>
    </row>
    <row r="111" spans="1:14" ht="30" hidden="1">
      <c r="A111" s="249" t="s">
        <v>363</v>
      </c>
      <c r="B111" s="252" t="s">
        <v>364</v>
      </c>
      <c r="C111" s="249">
        <v>11</v>
      </c>
      <c r="D111" s="249" t="s">
        <v>100</v>
      </c>
      <c r="E111" s="255" t="s">
        <v>84</v>
      </c>
      <c r="L111" s="264">
        <v>5549749.7199728042</v>
      </c>
      <c r="M111" s="264">
        <v>5576109.3645586465</v>
      </c>
      <c r="N111" s="264">
        <v>5602604.043871088</v>
      </c>
    </row>
    <row r="112" spans="1:14" hidden="1">
      <c r="E112" s="255" t="s">
        <v>226</v>
      </c>
      <c r="L112" s="264">
        <v>76425.803005329784</v>
      </c>
      <c r="M112" s="264">
        <v>76788.802619016496</v>
      </c>
      <c r="N112" s="264">
        <v>77153.661800780086</v>
      </c>
    </row>
    <row r="113" spans="1:14" ht="30" hidden="1">
      <c r="A113" s="249" t="s">
        <v>365</v>
      </c>
      <c r="B113" s="252" t="s">
        <v>366</v>
      </c>
      <c r="C113" s="249">
        <v>11</v>
      </c>
      <c r="D113" s="249" t="s">
        <v>100</v>
      </c>
      <c r="E113" s="255" t="s">
        <v>84</v>
      </c>
      <c r="L113" s="264">
        <v>131611.60360057629</v>
      </c>
      <c r="M113" s="264">
        <v>131611.60360057629</v>
      </c>
      <c r="N113" s="264">
        <v>131611.60360057629</v>
      </c>
    </row>
    <row r="114" spans="1:14" hidden="1">
      <c r="E114" s="255" t="s">
        <v>226</v>
      </c>
      <c r="L114" s="264">
        <v>263256.59594230662</v>
      </c>
      <c r="M114" s="264">
        <v>263256.59594230662</v>
      </c>
      <c r="N114" s="264">
        <v>263256.59594230662</v>
      </c>
    </row>
    <row r="115" spans="1:14" hidden="1">
      <c r="E115" s="255" t="s">
        <v>192</v>
      </c>
      <c r="L115" s="264">
        <v>89.945180251807272</v>
      </c>
      <c r="M115" s="264">
        <v>89.945180251807272</v>
      </c>
      <c r="N115" s="264">
        <v>89.945180251807272</v>
      </c>
    </row>
    <row r="116" spans="1:14" ht="30" hidden="1">
      <c r="A116" s="249" t="s">
        <v>368</v>
      </c>
      <c r="B116" s="252" t="s">
        <v>369</v>
      </c>
      <c r="C116" s="249">
        <v>51</v>
      </c>
      <c r="D116" s="249" t="s">
        <v>109</v>
      </c>
      <c r="E116" s="255" t="s">
        <v>84</v>
      </c>
      <c r="L116" s="264">
        <v>135523</v>
      </c>
      <c r="M116" s="264">
        <v>97121</v>
      </c>
      <c r="N116" s="264">
        <v>52963</v>
      </c>
    </row>
    <row r="117" spans="1:14" hidden="1">
      <c r="E117" s="255" t="s">
        <v>226</v>
      </c>
      <c r="L117" s="264">
        <v>61054</v>
      </c>
      <c r="M117" s="264">
        <v>38067</v>
      </c>
      <c r="N117" s="264">
        <v>21620</v>
      </c>
    </row>
    <row r="118" spans="1:14" hidden="1">
      <c r="E118" s="255" t="s">
        <v>367</v>
      </c>
      <c r="L118" s="264">
        <v>4991</v>
      </c>
      <c r="M118" s="264">
        <v>3491</v>
      </c>
      <c r="N118" s="264">
        <v>3000</v>
      </c>
    </row>
    <row r="119" spans="1:14" ht="30" hidden="1">
      <c r="A119" s="249" t="s">
        <v>370</v>
      </c>
      <c r="B119" s="252" t="s">
        <v>371</v>
      </c>
      <c r="C119" s="249">
        <v>31</v>
      </c>
      <c r="D119" s="249" t="s">
        <v>333</v>
      </c>
      <c r="E119" s="255" t="s">
        <v>84</v>
      </c>
      <c r="L119" s="264">
        <v>154731</v>
      </c>
      <c r="M119" s="264">
        <v>158673</v>
      </c>
      <c r="N119" s="264">
        <v>158673</v>
      </c>
    </row>
    <row r="120" spans="1:14" hidden="1">
      <c r="E120" s="255" t="s">
        <v>226</v>
      </c>
      <c r="L120" s="264">
        <v>27108</v>
      </c>
      <c r="M120" s="264">
        <v>28237</v>
      </c>
      <c r="N120" s="264">
        <v>28625</v>
      </c>
    </row>
    <row r="121" spans="1:14" hidden="1">
      <c r="E121" s="255" t="s">
        <v>367</v>
      </c>
      <c r="L121" s="264">
        <v>8350</v>
      </c>
      <c r="M121" s="264">
        <v>9300</v>
      </c>
      <c r="N121" s="264">
        <v>9300</v>
      </c>
    </row>
    <row r="122" spans="1:14" hidden="1">
      <c r="E122" s="255" t="s">
        <v>322</v>
      </c>
      <c r="L122" s="264">
        <v>25016</v>
      </c>
      <c r="M122" s="264">
        <v>22000</v>
      </c>
      <c r="N122" s="264">
        <v>20000</v>
      </c>
    </row>
    <row r="123" spans="1:14" hidden="1">
      <c r="C123" s="249">
        <v>43</v>
      </c>
      <c r="D123" s="249" t="s">
        <v>104</v>
      </c>
      <c r="E123" s="255" t="s">
        <v>84</v>
      </c>
      <c r="L123" s="264">
        <v>6720</v>
      </c>
      <c r="M123" s="264">
        <v>7000</v>
      </c>
      <c r="N123" s="264">
        <v>7000</v>
      </c>
    </row>
    <row r="124" spans="1:14" hidden="1">
      <c r="E124" s="255" t="s">
        <v>226</v>
      </c>
      <c r="L124" s="264">
        <v>311320</v>
      </c>
      <c r="M124" s="264">
        <v>320646</v>
      </c>
      <c r="N124" s="264">
        <v>324732</v>
      </c>
    </row>
    <row r="125" spans="1:14" hidden="1">
      <c r="E125" s="255" t="s">
        <v>192</v>
      </c>
      <c r="L125" s="264">
        <v>2934</v>
      </c>
      <c r="M125" s="264">
        <v>3026</v>
      </c>
      <c r="N125" s="264">
        <v>3026</v>
      </c>
    </row>
    <row r="126" spans="1:14" hidden="1">
      <c r="E126" s="255" t="s">
        <v>367</v>
      </c>
      <c r="L126" s="264">
        <v>81136</v>
      </c>
      <c r="M126" s="264">
        <v>74142</v>
      </c>
      <c r="N126" s="264">
        <v>77159</v>
      </c>
    </row>
    <row r="127" spans="1:14" hidden="1">
      <c r="C127" s="249">
        <v>52</v>
      </c>
      <c r="D127" s="249" t="s">
        <v>69</v>
      </c>
      <c r="E127" s="255" t="s">
        <v>84</v>
      </c>
      <c r="L127" s="264">
        <v>179831</v>
      </c>
      <c r="M127" s="264">
        <v>179324</v>
      </c>
      <c r="N127" s="264">
        <v>180006</v>
      </c>
    </row>
    <row r="128" spans="1:14" hidden="1">
      <c r="E128" s="255" t="s">
        <v>226</v>
      </c>
      <c r="L128" s="264">
        <v>47533</v>
      </c>
      <c r="M128" s="264">
        <v>81101</v>
      </c>
      <c r="N128" s="264">
        <v>75981</v>
      </c>
    </row>
    <row r="129" spans="1:14" hidden="1">
      <c r="E129" s="255" t="s">
        <v>192</v>
      </c>
      <c r="L129" s="264">
        <v>11</v>
      </c>
      <c r="M129" s="264">
        <v>62</v>
      </c>
      <c r="N129" s="264">
        <v>52</v>
      </c>
    </row>
    <row r="130" spans="1:14" hidden="1">
      <c r="E130" s="255" t="s">
        <v>367</v>
      </c>
      <c r="L130" s="264">
        <v>57361</v>
      </c>
      <c r="M130" s="264">
        <v>85344</v>
      </c>
      <c r="N130" s="264">
        <v>84940</v>
      </c>
    </row>
    <row r="131" spans="1:14" hidden="1">
      <c r="C131" s="249">
        <v>61</v>
      </c>
      <c r="D131" s="249" t="s">
        <v>276</v>
      </c>
      <c r="E131" s="255" t="s">
        <v>226</v>
      </c>
      <c r="L131" s="264">
        <v>1195</v>
      </c>
      <c r="M131" s="264">
        <v>1195</v>
      </c>
      <c r="N131" s="264">
        <v>1195</v>
      </c>
    </row>
    <row r="132" spans="1:14" hidden="1">
      <c r="E132" s="255" t="s">
        <v>209</v>
      </c>
      <c r="L132" s="264">
        <v>2123</v>
      </c>
      <c r="M132" s="264">
        <v>2123</v>
      </c>
      <c r="N132" s="264">
        <v>2123</v>
      </c>
    </row>
    <row r="133" spans="1:14" hidden="1">
      <c r="C133" s="249">
        <v>71</v>
      </c>
      <c r="D133" s="249" t="s">
        <v>387</v>
      </c>
      <c r="E133" s="255" t="s">
        <v>226</v>
      </c>
      <c r="L133" s="264">
        <v>700</v>
      </c>
      <c r="M133" s="264">
        <v>825</v>
      </c>
      <c r="N133" s="264">
        <v>852</v>
      </c>
    </row>
    <row r="134" spans="1:14" ht="30" hidden="1">
      <c r="A134" s="249" t="s">
        <v>388</v>
      </c>
      <c r="B134" s="252" t="s">
        <v>389</v>
      </c>
      <c r="C134" s="249">
        <v>12</v>
      </c>
      <c r="D134" s="249" t="s">
        <v>102</v>
      </c>
      <c r="E134" s="255" t="s">
        <v>84</v>
      </c>
      <c r="L134" s="264">
        <v>10999.526338208716</v>
      </c>
      <c r="M134" s="264"/>
      <c r="N134" s="264"/>
    </row>
    <row r="135" spans="1:14" hidden="1">
      <c r="C135" s="249">
        <v>561</v>
      </c>
      <c r="D135" s="249" t="s">
        <v>390</v>
      </c>
      <c r="E135" s="255" t="s">
        <v>84</v>
      </c>
      <c r="L135" s="264">
        <v>62330.64924984939</v>
      </c>
      <c r="M135" s="264"/>
      <c r="N135" s="264"/>
    </row>
    <row r="136" spans="1:14" ht="45" hidden="1">
      <c r="A136" s="249" t="s">
        <v>375</v>
      </c>
      <c r="B136" s="252" t="s">
        <v>376</v>
      </c>
      <c r="C136" s="249">
        <v>5761</v>
      </c>
      <c r="D136" s="249" t="s">
        <v>377</v>
      </c>
      <c r="E136" s="255" t="s">
        <v>226</v>
      </c>
      <c r="L136" s="264">
        <v>77161.299209108183</v>
      </c>
      <c r="M136" s="264">
        <v>0</v>
      </c>
      <c r="N136" s="264">
        <v>0</v>
      </c>
    </row>
    <row r="137" spans="1:14" hidden="1">
      <c r="E137" s="255" t="s">
        <v>322</v>
      </c>
      <c r="L137" s="264">
        <v>1116535.6573695506</v>
      </c>
      <c r="M137" s="264">
        <v>0</v>
      </c>
      <c r="N137" s="264">
        <v>0</v>
      </c>
    </row>
    <row r="138" spans="1:14" ht="45" hidden="1">
      <c r="A138" s="249" t="s">
        <v>378</v>
      </c>
      <c r="B138" s="252" t="s">
        <v>379</v>
      </c>
      <c r="C138" s="249">
        <v>581</v>
      </c>
      <c r="D138" s="249" t="s">
        <v>380</v>
      </c>
      <c r="E138" s="255" t="s">
        <v>226</v>
      </c>
      <c r="L138" s="264">
        <v>0</v>
      </c>
      <c r="M138" s="264"/>
      <c r="N138" s="264">
        <v>0</v>
      </c>
    </row>
    <row r="139" spans="1:14" hidden="1">
      <c r="E139" s="255" t="s">
        <v>322</v>
      </c>
      <c r="L139" s="264">
        <v>1766907.6145309426</v>
      </c>
      <c r="M139" s="264">
        <v>0</v>
      </c>
      <c r="N139" s="264">
        <v>0</v>
      </c>
    </row>
    <row r="140" spans="1:14" ht="45" hidden="1">
      <c r="A140" s="249" t="s">
        <v>393</v>
      </c>
      <c r="B140" s="252" t="s">
        <v>394</v>
      </c>
      <c r="C140" s="249">
        <v>5762</v>
      </c>
      <c r="D140" s="249" t="s">
        <v>377</v>
      </c>
      <c r="E140" s="255" t="s">
        <v>226</v>
      </c>
      <c r="L140" s="264">
        <v>5204364.8487332547</v>
      </c>
      <c r="M140" s="264">
        <v>0</v>
      </c>
      <c r="N140" s="264">
        <v>0</v>
      </c>
    </row>
    <row r="141" spans="1:14" ht="30" hidden="1">
      <c r="A141" s="249" t="s">
        <v>363</v>
      </c>
      <c r="B141" s="252" t="s">
        <v>364</v>
      </c>
      <c r="C141" s="249">
        <v>11</v>
      </c>
      <c r="D141" s="249" t="s">
        <v>100</v>
      </c>
      <c r="E141" s="255" t="s">
        <v>84</v>
      </c>
      <c r="L141" s="264">
        <v>4253719.4079194702</v>
      </c>
      <c r="M141" s="264">
        <v>4273923.2977196043</v>
      </c>
      <c r="N141" s="264">
        <v>4294230.687653305</v>
      </c>
    </row>
    <row r="142" spans="1:14" hidden="1">
      <c r="E142" s="255" t="s">
        <v>226</v>
      </c>
      <c r="L142" s="264">
        <v>93281.054707690855</v>
      </c>
      <c r="M142" s="264">
        <v>93724.111705349351</v>
      </c>
      <c r="N142" s="264">
        <v>94169.438387652175</v>
      </c>
    </row>
    <row r="143" spans="1:14" hidden="1">
      <c r="A143" s="249" t="s">
        <v>383</v>
      </c>
      <c r="B143" s="252" t="s">
        <v>384</v>
      </c>
      <c r="C143" s="249">
        <v>11</v>
      </c>
      <c r="D143" s="249" t="s">
        <v>100</v>
      </c>
      <c r="E143" s="255" t="s">
        <v>84</v>
      </c>
      <c r="L143" s="264">
        <v>32512.94</v>
      </c>
      <c r="M143" s="264">
        <v>32512.94</v>
      </c>
      <c r="N143" s="264">
        <v>32512.94</v>
      </c>
    </row>
    <row r="144" spans="1:14" ht="30" hidden="1">
      <c r="A144" s="249" t="s">
        <v>365</v>
      </c>
      <c r="B144" s="252" t="s">
        <v>366</v>
      </c>
      <c r="C144" s="249">
        <v>11</v>
      </c>
      <c r="D144" s="249" t="s">
        <v>100</v>
      </c>
      <c r="E144" s="255" t="s">
        <v>226</v>
      </c>
      <c r="L144" s="264">
        <v>316106.64075529191</v>
      </c>
      <c r="M144" s="264">
        <v>316106.64075529191</v>
      </c>
      <c r="N144" s="264">
        <v>316106.64075529191</v>
      </c>
    </row>
    <row r="145" spans="1:14" hidden="1">
      <c r="E145" s="255" t="s">
        <v>192</v>
      </c>
      <c r="L145" s="264">
        <v>122.43202793114824</v>
      </c>
      <c r="M145" s="264">
        <v>122.43202793114824</v>
      </c>
      <c r="N145" s="264">
        <v>122.43202793114824</v>
      </c>
    </row>
    <row r="146" spans="1:14" hidden="1">
      <c r="E146" s="255" t="s">
        <v>367</v>
      </c>
      <c r="L146" s="264">
        <v>18776.175803520891</v>
      </c>
      <c r="M146" s="264">
        <v>18776.175803520891</v>
      </c>
      <c r="N146" s="264">
        <v>18776.175803520891</v>
      </c>
    </row>
    <row r="147" spans="1:14" ht="30" hidden="1">
      <c r="A147" s="249" t="s">
        <v>370</v>
      </c>
      <c r="B147" s="252" t="s">
        <v>371</v>
      </c>
      <c r="C147" s="249">
        <v>31</v>
      </c>
      <c r="D147" s="249" t="s">
        <v>333</v>
      </c>
      <c r="E147" s="255" t="s">
        <v>84</v>
      </c>
      <c r="L147" s="264">
        <v>3150</v>
      </c>
      <c r="M147" s="264">
        <v>3260</v>
      </c>
      <c r="N147" s="264">
        <v>3370</v>
      </c>
    </row>
    <row r="148" spans="1:14" hidden="1">
      <c r="E148" s="255" t="s">
        <v>226</v>
      </c>
      <c r="L148" s="264">
        <v>25425</v>
      </c>
      <c r="M148" s="264">
        <v>25980</v>
      </c>
      <c r="N148" s="264">
        <v>26730</v>
      </c>
    </row>
    <row r="149" spans="1:14" hidden="1">
      <c r="E149" s="255" t="s">
        <v>367</v>
      </c>
      <c r="L149" s="264">
        <v>1100</v>
      </c>
      <c r="M149" s="264">
        <v>1100</v>
      </c>
      <c r="N149" s="264">
        <v>1100</v>
      </c>
    </row>
    <row r="150" spans="1:14" hidden="1">
      <c r="C150" s="249">
        <v>43</v>
      </c>
      <c r="D150" s="249" t="s">
        <v>104</v>
      </c>
      <c r="E150" s="255" t="s">
        <v>84</v>
      </c>
      <c r="L150" s="264">
        <v>14930</v>
      </c>
      <c r="M150" s="264">
        <v>15217</v>
      </c>
      <c r="N150" s="264">
        <v>15615</v>
      </c>
    </row>
    <row r="151" spans="1:14" hidden="1">
      <c r="E151" s="255" t="s">
        <v>226</v>
      </c>
      <c r="L151" s="264">
        <v>66490</v>
      </c>
      <c r="M151" s="264">
        <v>68559</v>
      </c>
      <c r="N151" s="264">
        <v>70400</v>
      </c>
    </row>
    <row r="152" spans="1:14" hidden="1">
      <c r="C152" s="249">
        <v>51</v>
      </c>
      <c r="D152" s="249" t="s">
        <v>109</v>
      </c>
      <c r="E152" s="255" t="s">
        <v>84</v>
      </c>
      <c r="L152" s="264">
        <v>34766</v>
      </c>
      <c r="M152" s="264">
        <v>34852</v>
      </c>
      <c r="N152" s="264">
        <v>34938</v>
      </c>
    </row>
    <row r="153" spans="1:14" hidden="1">
      <c r="E153" s="255" t="s">
        <v>226</v>
      </c>
      <c r="L153" s="264">
        <v>24234</v>
      </c>
      <c r="M153" s="264">
        <v>24148</v>
      </c>
      <c r="N153" s="264">
        <v>24062</v>
      </c>
    </row>
    <row r="154" spans="1:14" hidden="1">
      <c r="C154" s="249">
        <v>52</v>
      </c>
      <c r="D154" s="249" t="s">
        <v>69</v>
      </c>
      <c r="E154" s="255" t="s">
        <v>84</v>
      </c>
      <c r="L154" s="264">
        <v>144892</v>
      </c>
      <c r="M154" s="264">
        <v>94524</v>
      </c>
      <c r="N154" s="264">
        <v>74936</v>
      </c>
    </row>
    <row r="155" spans="1:14" hidden="1">
      <c r="E155" s="255" t="s">
        <v>226</v>
      </c>
      <c r="L155" s="264">
        <v>106046</v>
      </c>
      <c r="M155" s="264">
        <v>47606</v>
      </c>
      <c r="N155" s="264">
        <v>18600</v>
      </c>
    </row>
    <row r="156" spans="1:14" hidden="1">
      <c r="E156" s="255" t="s">
        <v>204</v>
      </c>
      <c r="L156" s="264">
        <v>700</v>
      </c>
      <c r="M156" s="264">
        <v>500</v>
      </c>
      <c r="N156" s="264">
        <v>500</v>
      </c>
    </row>
    <row r="157" spans="1:14" hidden="1">
      <c r="E157" s="255" t="s">
        <v>367</v>
      </c>
      <c r="L157" s="264">
        <v>10568</v>
      </c>
      <c r="M157" s="264">
        <v>4803</v>
      </c>
      <c r="N157" s="264"/>
    </row>
    <row r="158" spans="1:14" hidden="1">
      <c r="C158" s="249">
        <v>61</v>
      </c>
      <c r="D158" s="249" t="s">
        <v>276</v>
      </c>
      <c r="E158" s="255" t="s">
        <v>84</v>
      </c>
      <c r="L158" s="264">
        <v>96224</v>
      </c>
      <c r="M158" s="264"/>
      <c r="N158" s="264"/>
    </row>
    <row r="159" spans="1:14" hidden="1">
      <c r="E159" s="255" t="s">
        <v>226</v>
      </c>
      <c r="L159" s="264">
        <v>128739</v>
      </c>
      <c r="M159" s="264"/>
      <c r="N159" s="264"/>
    </row>
    <row r="160" spans="1:14" hidden="1">
      <c r="E160" s="255" t="s">
        <v>367</v>
      </c>
      <c r="L160" s="264">
        <v>33179</v>
      </c>
      <c r="M160" s="264"/>
      <c r="N160" s="264"/>
    </row>
    <row r="161" spans="1:14" ht="30" hidden="1">
      <c r="A161" s="249" t="s">
        <v>388</v>
      </c>
      <c r="B161" s="252" t="s">
        <v>389</v>
      </c>
      <c r="C161" s="249">
        <v>12</v>
      </c>
      <c r="D161" s="249" t="s">
        <v>102</v>
      </c>
      <c r="E161" s="255" t="s">
        <v>84</v>
      </c>
      <c r="L161" s="264">
        <v>22372.434537676403</v>
      </c>
      <c r="M161" s="264"/>
      <c r="N161" s="264"/>
    </row>
    <row r="162" spans="1:14" hidden="1">
      <c r="C162" s="249">
        <v>561</v>
      </c>
      <c r="D162" s="249" t="s">
        <v>390</v>
      </c>
      <c r="E162" s="255" t="s">
        <v>226</v>
      </c>
      <c r="L162" s="264">
        <v>17399.699045555426</v>
      </c>
      <c r="M162" s="264"/>
      <c r="N162" s="264"/>
    </row>
    <row r="163" spans="1:14" hidden="1">
      <c r="E163" s="255" t="s">
        <v>204</v>
      </c>
      <c r="L163" s="264">
        <v>4963.315658850579</v>
      </c>
      <c r="M163" s="264"/>
      <c r="N163" s="264"/>
    </row>
    <row r="164" spans="1:14" hidden="1">
      <c r="E164" s="255" t="s">
        <v>367</v>
      </c>
      <c r="L164" s="264">
        <v>104414.11434242698</v>
      </c>
      <c r="M164" s="264"/>
      <c r="N164" s="264"/>
    </row>
    <row r="165" spans="1:14" ht="45" hidden="1">
      <c r="A165" s="249" t="s">
        <v>375</v>
      </c>
      <c r="B165" s="252" t="s">
        <v>376</v>
      </c>
      <c r="C165" s="249" t="s">
        <v>395</v>
      </c>
      <c r="D165" s="249" t="s">
        <v>395</v>
      </c>
      <c r="E165" s="255" t="s">
        <v>226</v>
      </c>
      <c r="L165" s="264"/>
      <c r="M165" s="264"/>
      <c r="N165" s="264"/>
    </row>
    <row r="166" spans="1:14" hidden="1">
      <c r="E166" s="255" t="s">
        <v>322</v>
      </c>
      <c r="L166" s="264"/>
      <c r="M166" s="264"/>
      <c r="N166" s="264"/>
    </row>
    <row r="167" spans="1:14" ht="30" hidden="1">
      <c r="A167" s="249" t="s">
        <v>363</v>
      </c>
      <c r="B167" s="252" t="s">
        <v>364</v>
      </c>
      <c r="C167" s="249">
        <v>11</v>
      </c>
      <c r="D167" s="249" t="s">
        <v>100</v>
      </c>
      <c r="E167" s="255" t="s">
        <v>84</v>
      </c>
      <c r="L167" s="264">
        <v>5217030.6563814273</v>
      </c>
      <c r="M167" s="264">
        <v>5241809.9853303973</v>
      </c>
      <c r="N167" s="264">
        <v>5266716.2533926405</v>
      </c>
    </row>
    <row r="168" spans="1:14" hidden="1">
      <c r="E168" s="255" t="s">
        <v>226</v>
      </c>
      <c r="L168" s="264">
        <v>128947.90548097798</v>
      </c>
      <c r="M168" s="264">
        <v>129560.36930909168</v>
      </c>
      <c r="N168" s="264">
        <v>130175.97065620002</v>
      </c>
    </row>
    <row r="169" spans="1:14" ht="30" hidden="1">
      <c r="A169" s="249" t="s">
        <v>365</v>
      </c>
      <c r="B169" s="252" t="s">
        <v>366</v>
      </c>
      <c r="C169" s="249">
        <v>11</v>
      </c>
      <c r="D169" s="249" t="s">
        <v>100</v>
      </c>
      <c r="E169" s="255" t="s">
        <v>226</v>
      </c>
      <c r="L169" s="264">
        <v>473301.69226389949</v>
      </c>
      <c r="M169" s="264">
        <v>473301.69226389949</v>
      </c>
      <c r="N169" s="264">
        <v>473301.69226389949</v>
      </c>
    </row>
    <row r="170" spans="1:14" ht="30" hidden="1">
      <c r="A170" s="249" t="s">
        <v>368</v>
      </c>
      <c r="B170" s="252" t="s">
        <v>369</v>
      </c>
      <c r="C170" s="249">
        <v>51</v>
      </c>
      <c r="D170" s="249" t="s">
        <v>109</v>
      </c>
      <c r="E170" s="255" t="s">
        <v>84</v>
      </c>
      <c r="L170" s="264">
        <v>51198</v>
      </c>
      <c r="M170" s="264">
        <v>34737</v>
      </c>
      <c r="N170" s="264"/>
    </row>
    <row r="171" spans="1:14" hidden="1">
      <c r="C171" s="249">
        <v>52</v>
      </c>
      <c r="D171" s="249" t="s">
        <v>69</v>
      </c>
      <c r="E171" s="255" t="s">
        <v>84</v>
      </c>
      <c r="L171" s="264">
        <v>25283</v>
      </c>
      <c r="M171" s="264"/>
      <c r="N171" s="264"/>
    </row>
    <row r="172" spans="1:14" hidden="1">
      <c r="E172" s="255" t="s">
        <v>226</v>
      </c>
      <c r="L172" s="264">
        <v>5375</v>
      </c>
      <c r="M172" s="264"/>
      <c r="N172" s="264"/>
    </row>
    <row r="173" spans="1:14" ht="30" hidden="1">
      <c r="A173" s="249" t="s">
        <v>370</v>
      </c>
      <c r="B173" s="252" t="s">
        <v>371</v>
      </c>
      <c r="C173" s="249">
        <v>31</v>
      </c>
      <c r="D173" s="249" t="s">
        <v>333</v>
      </c>
      <c r="E173" s="255" t="s">
        <v>84</v>
      </c>
      <c r="L173" s="264">
        <v>1109562</v>
      </c>
      <c r="M173" s="264">
        <v>1109562</v>
      </c>
      <c r="N173" s="264">
        <v>1109562</v>
      </c>
    </row>
    <row r="174" spans="1:14" hidden="1">
      <c r="E174" s="255" t="s">
        <v>226</v>
      </c>
      <c r="L174" s="264">
        <v>2139614</v>
      </c>
      <c r="M174" s="264">
        <v>2139614</v>
      </c>
      <c r="N174" s="264">
        <v>2139614</v>
      </c>
    </row>
    <row r="175" spans="1:14" hidden="1">
      <c r="E175" s="255" t="s">
        <v>192</v>
      </c>
      <c r="L175" s="264">
        <v>26544</v>
      </c>
      <c r="M175" s="264">
        <v>26544</v>
      </c>
      <c r="N175" s="264">
        <v>26544</v>
      </c>
    </row>
    <row r="176" spans="1:14" hidden="1">
      <c r="E176" s="255" t="s">
        <v>209</v>
      </c>
      <c r="L176" s="264"/>
      <c r="M176" s="264"/>
      <c r="N176" s="264"/>
    </row>
    <row r="177" spans="3:14" hidden="1">
      <c r="E177" s="255" t="s">
        <v>215</v>
      </c>
      <c r="L177" s="264">
        <v>796</v>
      </c>
      <c r="M177" s="264">
        <v>796</v>
      </c>
      <c r="N177" s="264">
        <v>796</v>
      </c>
    </row>
    <row r="178" spans="3:14" hidden="1">
      <c r="E178" s="255" t="s">
        <v>367</v>
      </c>
      <c r="L178" s="264">
        <v>7962</v>
      </c>
      <c r="M178" s="264">
        <v>7962</v>
      </c>
      <c r="N178" s="264">
        <v>7962</v>
      </c>
    </row>
    <row r="179" spans="3:14" hidden="1">
      <c r="E179" s="255" t="s">
        <v>322</v>
      </c>
      <c r="L179" s="264">
        <v>66306</v>
      </c>
      <c r="M179" s="264">
        <v>66306</v>
      </c>
      <c r="N179" s="264">
        <v>66306</v>
      </c>
    </row>
    <row r="180" spans="3:14" hidden="1">
      <c r="C180" s="249">
        <v>43</v>
      </c>
      <c r="D180" s="249" t="s">
        <v>104</v>
      </c>
      <c r="E180" s="255" t="s">
        <v>84</v>
      </c>
      <c r="L180" s="264">
        <v>37162</v>
      </c>
      <c r="M180" s="264">
        <v>37162</v>
      </c>
      <c r="N180" s="264">
        <v>37162</v>
      </c>
    </row>
    <row r="181" spans="3:14" hidden="1">
      <c r="E181" s="255" t="s">
        <v>226</v>
      </c>
      <c r="L181" s="264">
        <v>218987</v>
      </c>
      <c r="M181" s="264">
        <v>218987</v>
      </c>
      <c r="N181" s="264">
        <v>218987</v>
      </c>
    </row>
    <row r="182" spans="3:14" hidden="1">
      <c r="E182" s="255" t="s">
        <v>192</v>
      </c>
      <c r="L182" s="264">
        <v>13272</v>
      </c>
      <c r="M182" s="264">
        <v>13272</v>
      </c>
      <c r="N182" s="264">
        <v>13272</v>
      </c>
    </row>
    <row r="183" spans="3:14" hidden="1">
      <c r="E183" s="255" t="s">
        <v>209</v>
      </c>
      <c r="L183" s="264"/>
      <c r="M183" s="264"/>
      <c r="N183" s="264"/>
    </row>
    <row r="184" spans="3:14" hidden="1">
      <c r="E184" s="255" t="s">
        <v>367</v>
      </c>
      <c r="L184" s="264">
        <v>39816</v>
      </c>
      <c r="M184" s="264">
        <v>39816</v>
      </c>
      <c r="N184" s="264">
        <v>39816</v>
      </c>
    </row>
    <row r="185" spans="3:14" hidden="1">
      <c r="E185" s="255" t="s">
        <v>322</v>
      </c>
      <c r="L185" s="264">
        <v>26544</v>
      </c>
      <c r="M185" s="264">
        <v>26544</v>
      </c>
      <c r="N185" s="264">
        <v>26544</v>
      </c>
    </row>
    <row r="186" spans="3:14" hidden="1">
      <c r="C186" s="249">
        <v>51</v>
      </c>
      <c r="D186" s="249" t="s">
        <v>109</v>
      </c>
      <c r="E186" s="255" t="s">
        <v>84</v>
      </c>
      <c r="L186" s="264">
        <v>371740</v>
      </c>
      <c r="M186" s="264">
        <v>110952</v>
      </c>
      <c r="N186" s="264">
        <v>108400</v>
      </c>
    </row>
    <row r="187" spans="3:14" hidden="1">
      <c r="E187" s="255" t="s">
        <v>226</v>
      </c>
      <c r="L187" s="264">
        <v>39700</v>
      </c>
      <c r="M187" s="264">
        <v>8498</v>
      </c>
      <c r="N187" s="264">
        <v>6600</v>
      </c>
    </row>
    <row r="188" spans="3:14" hidden="1">
      <c r="C188" s="249">
        <v>52</v>
      </c>
      <c r="D188" s="249" t="s">
        <v>69</v>
      </c>
      <c r="E188" s="255" t="s">
        <v>84</v>
      </c>
      <c r="L188" s="264">
        <v>100519</v>
      </c>
      <c r="M188" s="264">
        <v>72945</v>
      </c>
      <c r="N188" s="264">
        <v>54186</v>
      </c>
    </row>
    <row r="189" spans="3:14" hidden="1">
      <c r="E189" s="255" t="s">
        <v>226</v>
      </c>
      <c r="L189" s="264">
        <v>35169</v>
      </c>
      <c r="M189" s="264"/>
      <c r="N189" s="264"/>
    </row>
    <row r="190" spans="3:14" hidden="1">
      <c r="E190" s="255" t="s">
        <v>367</v>
      </c>
      <c r="L190" s="264"/>
      <c r="M190" s="264"/>
      <c r="N190" s="264"/>
    </row>
    <row r="191" spans="3:14" hidden="1">
      <c r="E191" s="255" t="s">
        <v>322</v>
      </c>
      <c r="L191" s="264">
        <v>0</v>
      </c>
      <c r="M191" s="264">
        <v>39816</v>
      </c>
      <c r="N191" s="264">
        <v>39816</v>
      </c>
    </row>
    <row r="192" spans="3:14" hidden="1">
      <c r="C192" s="249">
        <v>61</v>
      </c>
      <c r="D192" s="249" t="s">
        <v>276</v>
      </c>
      <c r="E192" s="255" t="s">
        <v>226</v>
      </c>
      <c r="L192" s="264">
        <v>29199</v>
      </c>
      <c r="M192" s="264">
        <v>38490</v>
      </c>
      <c r="N192" s="264">
        <v>38490</v>
      </c>
    </row>
    <row r="193" spans="1:14" hidden="1">
      <c r="E193" s="255" t="s">
        <v>367</v>
      </c>
      <c r="L193" s="264">
        <v>10617</v>
      </c>
      <c r="M193" s="264">
        <v>10617</v>
      </c>
      <c r="N193" s="264">
        <v>10617</v>
      </c>
    </row>
    <row r="194" spans="1:14" hidden="1">
      <c r="C194" s="249">
        <v>561</v>
      </c>
      <c r="D194" s="249" t="s">
        <v>390</v>
      </c>
      <c r="E194" s="255" t="s">
        <v>84</v>
      </c>
      <c r="L194" s="264"/>
      <c r="M194" s="264"/>
      <c r="N194" s="264"/>
    </row>
    <row r="195" spans="1:14" hidden="1">
      <c r="E195" s="255" t="s">
        <v>226</v>
      </c>
      <c r="L195" s="264"/>
      <c r="M195" s="264"/>
      <c r="N195" s="264"/>
    </row>
    <row r="196" spans="1:14" ht="30" hidden="1">
      <c r="A196" s="249" t="s">
        <v>388</v>
      </c>
      <c r="B196" s="252" t="s">
        <v>389</v>
      </c>
      <c r="C196" s="249">
        <v>12</v>
      </c>
      <c r="D196" s="249" t="s">
        <v>102</v>
      </c>
      <c r="E196" s="255" t="s">
        <v>84</v>
      </c>
      <c r="L196" s="264">
        <v>16173.036582254406</v>
      </c>
      <c r="M196" s="264"/>
      <c r="N196" s="264"/>
    </row>
    <row r="197" spans="1:14" hidden="1">
      <c r="E197" s="255" t="s">
        <v>226</v>
      </c>
      <c r="L197" s="264">
        <v>4636.3029824656369</v>
      </c>
      <c r="M197" s="264"/>
      <c r="N197" s="264"/>
    </row>
    <row r="198" spans="1:14" hidden="1">
      <c r="C198" s="249">
        <v>561</v>
      </c>
      <c r="D198" s="249" t="s">
        <v>390</v>
      </c>
      <c r="E198" s="255" t="s">
        <v>84</v>
      </c>
      <c r="L198" s="264">
        <v>91647.206382969584</v>
      </c>
      <c r="M198" s="264"/>
      <c r="N198" s="264"/>
    </row>
    <row r="199" spans="1:14" hidden="1">
      <c r="E199" s="255" t="s">
        <v>226</v>
      </c>
      <c r="L199" s="264">
        <v>26272.383304581443</v>
      </c>
      <c r="M199" s="264"/>
      <c r="N199" s="264"/>
    </row>
    <row r="200" spans="1:14" ht="30" hidden="1">
      <c r="A200" s="249" t="s">
        <v>363</v>
      </c>
      <c r="B200" s="252" t="s">
        <v>364</v>
      </c>
      <c r="C200" s="249">
        <v>11</v>
      </c>
      <c r="D200" s="249" t="s">
        <v>100</v>
      </c>
      <c r="E200" s="255" t="s">
        <v>84</v>
      </c>
      <c r="L200" s="264">
        <v>11394126.037882729</v>
      </c>
      <c r="M200" s="264">
        <v>11448244.714918558</v>
      </c>
      <c r="N200" s="264">
        <v>11502640.630167272</v>
      </c>
    </row>
    <row r="201" spans="1:14" hidden="1">
      <c r="E201" s="255" t="s">
        <v>226</v>
      </c>
      <c r="L201" s="264">
        <v>364139.46309260995</v>
      </c>
      <c r="M201" s="264">
        <v>365869.01619160041</v>
      </c>
      <c r="N201" s="264">
        <v>367607.42941497918</v>
      </c>
    </row>
    <row r="202" spans="1:14" hidden="1">
      <c r="A202" s="249" t="s">
        <v>383</v>
      </c>
      <c r="B202" s="252" t="s">
        <v>384</v>
      </c>
      <c r="C202" s="249">
        <v>11</v>
      </c>
      <c r="D202" s="249" t="s">
        <v>100</v>
      </c>
      <c r="E202" s="255" t="s">
        <v>84</v>
      </c>
      <c r="L202" s="264">
        <v>43151.824226800003</v>
      </c>
      <c r="M202" s="264">
        <v>43151.824226800003</v>
      </c>
      <c r="N202" s="264">
        <v>43151.824226800003</v>
      </c>
    </row>
    <row r="203" spans="1:14" ht="30" hidden="1">
      <c r="A203" s="249" t="s">
        <v>365</v>
      </c>
      <c r="B203" s="252" t="s">
        <v>366</v>
      </c>
      <c r="C203" s="249">
        <v>11</v>
      </c>
      <c r="D203" s="249" t="s">
        <v>100</v>
      </c>
      <c r="E203" s="255" t="s">
        <v>226</v>
      </c>
      <c r="L203" s="264">
        <v>788299.80105294182</v>
      </c>
      <c r="M203" s="264">
        <v>788299.80105294182</v>
      </c>
      <c r="N203" s="264">
        <v>788299.80105294182</v>
      </c>
    </row>
    <row r="204" spans="1:14" hidden="1">
      <c r="E204" s="255" t="s">
        <v>192</v>
      </c>
      <c r="L204" s="264">
        <v>54.488372808793677</v>
      </c>
      <c r="M204" s="264">
        <v>54.488372808793677</v>
      </c>
      <c r="N204" s="264">
        <v>54.488372808793677</v>
      </c>
    </row>
    <row r="205" spans="1:14" hidden="1">
      <c r="E205" s="255" t="s">
        <v>215</v>
      </c>
      <c r="L205" s="264">
        <v>276.56977107493759</v>
      </c>
      <c r="M205" s="264">
        <v>276.56977107493759</v>
      </c>
      <c r="N205" s="264">
        <v>276.56977107493759</v>
      </c>
    </row>
    <row r="206" spans="1:14" hidden="1">
      <c r="E206" s="255" t="s">
        <v>367</v>
      </c>
      <c r="L206" s="264">
        <v>65462.826441328441</v>
      </c>
      <c r="M206" s="264">
        <v>65462.826441328441</v>
      </c>
      <c r="N206" s="264">
        <v>65462.826441328441</v>
      </c>
    </row>
    <row r="207" spans="1:14" ht="30" hidden="1">
      <c r="A207" s="249" t="s">
        <v>368</v>
      </c>
      <c r="B207" s="252" t="s">
        <v>369</v>
      </c>
      <c r="C207" s="249">
        <v>51</v>
      </c>
      <c r="D207" s="249" t="s">
        <v>109</v>
      </c>
      <c r="E207" s="255" t="s">
        <v>84</v>
      </c>
      <c r="L207" s="264">
        <v>155800</v>
      </c>
      <c r="M207" s="264">
        <v>88800</v>
      </c>
      <c r="N207" s="264">
        <v>65125</v>
      </c>
    </row>
    <row r="208" spans="1:14" hidden="1">
      <c r="E208" s="255" t="s">
        <v>226</v>
      </c>
      <c r="L208" s="264">
        <v>198490</v>
      </c>
      <c r="M208" s="264">
        <v>113400.25</v>
      </c>
      <c r="N208" s="264">
        <v>78031.25</v>
      </c>
    </row>
    <row r="209" spans="1:14" hidden="1">
      <c r="E209" s="255" t="s">
        <v>367</v>
      </c>
      <c r="L209" s="264">
        <v>27000</v>
      </c>
      <c r="M209" s="264">
        <v>0</v>
      </c>
      <c r="N209" s="264">
        <v>0</v>
      </c>
    </row>
    <row r="210" spans="1:14" hidden="1">
      <c r="C210" s="249">
        <v>52</v>
      </c>
      <c r="D210" s="249" t="s">
        <v>69</v>
      </c>
      <c r="E210" s="255" t="s">
        <v>84</v>
      </c>
      <c r="L210" s="264">
        <v>53089.120000000003</v>
      </c>
      <c r="M210" s="264">
        <v>0</v>
      </c>
      <c r="N210" s="264">
        <v>0</v>
      </c>
    </row>
    <row r="211" spans="1:14" hidden="1">
      <c r="E211" s="255" t="s">
        <v>226</v>
      </c>
      <c r="L211" s="264">
        <v>1864655.91</v>
      </c>
      <c r="M211" s="264">
        <v>0</v>
      </c>
      <c r="N211" s="264">
        <v>0</v>
      </c>
    </row>
    <row r="212" spans="1:14" hidden="1">
      <c r="E212" s="255" t="s">
        <v>204</v>
      </c>
      <c r="L212" s="264">
        <v>62567</v>
      </c>
      <c r="M212" s="264">
        <v>0</v>
      </c>
      <c r="N212" s="264">
        <v>0</v>
      </c>
    </row>
    <row r="213" spans="1:14" hidden="1">
      <c r="E213" s="255" t="s">
        <v>367</v>
      </c>
      <c r="L213" s="264">
        <v>2218848.17</v>
      </c>
      <c r="M213" s="264">
        <v>1327229</v>
      </c>
      <c r="N213" s="264">
        <v>0</v>
      </c>
    </row>
    <row r="214" spans="1:14" ht="30" hidden="1">
      <c r="A214" s="249" t="s">
        <v>370</v>
      </c>
      <c r="B214" s="252" t="s">
        <v>371</v>
      </c>
      <c r="C214" s="249">
        <v>31</v>
      </c>
      <c r="D214" s="249" t="s">
        <v>333</v>
      </c>
      <c r="E214" s="255" t="s">
        <v>84</v>
      </c>
      <c r="L214" s="264">
        <v>85087</v>
      </c>
      <c r="M214" s="264">
        <v>85087</v>
      </c>
      <c r="N214" s="264">
        <v>85087</v>
      </c>
    </row>
    <row r="215" spans="1:14" hidden="1">
      <c r="E215" s="255" t="s">
        <v>226</v>
      </c>
      <c r="L215" s="264">
        <v>1153678</v>
      </c>
      <c r="M215" s="264">
        <v>1167786</v>
      </c>
      <c r="N215" s="264">
        <v>1167786</v>
      </c>
    </row>
    <row r="216" spans="1:14" hidden="1">
      <c r="E216" s="255" t="s">
        <v>192</v>
      </c>
      <c r="L216" s="264">
        <v>16019</v>
      </c>
      <c r="M216" s="264">
        <v>16019</v>
      </c>
      <c r="N216" s="264">
        <v>16019</v>
      </c>
    </row>
    <row r="217" spans="1:14" hidden="1">
      <c r="E217" s="255" t="s">
        <v>209</v>
      </c>
      <c r="L217" s="264">
        <v>12706</v>
      </c>
      <c r="M217" s="264">
        <v>12706</v>
      </c>
      <c r="N217" s="264">
        <v>12706</v>
      </c>
    </row>
    <row r="218" spans="1:14" hidden="1">
      <c r="E218" s="255" t="s">
        <v>215</v>
      </c>
      <c r="L218" s="264">
        <v>23226</v>
      </c>
      <c r="M218" s="264">
        <v>23226</v>
      </c>
      <c r="N218" s="264">
        <v>23226</v>
      </c>
    </row>
    <row r="219" spans="1:14" hidden="1">
      <c r="E219" s="255" t="s">
        <v>283</v>
      </c>
      <c r="L219" s="264">
        <v>1418</v>
      </c>
      <c r="M219" s="264">
        <v>1418</v>
      </c>
      <c r="N219" s="264">
        <v>1418</v>
      </c>
    </row>
    <row r="220" spans="1:14" hidden="1">
      <c r="E220" s="255" t="s">
        <v>367</v>
      </c>
      <c r="L220" s="264">
        <v>128251</v>
      </c>
      <c r="M220" s="264">
        <v>128251</v>
      </c>
      <c r="N220" s="264">
        <v>128251</v>
      </c>
    </row>
    <row r="221" spans="1:14" hidden="1">
      <c r="E221" s="255" t="s">
        <v>396</v>
      </c>
      <c r="L221" s="264">
        <v>1061782</v>
      </c>
      <c r="M221" s="264"/>
      <c r="N221" s="264"/>
    </row>
    <row r="222" spans="1:14" hidden="1">
      <c r="C222" s="249">
        <v>43</v>
      </c>
      <c r="D222" s="249" t="s">
        <v>104</v>
      </c>
      <c r="E222" s="255" t="s">
        <v>84</v>
      </c>
      <c r="L222" s="264">
        <v>19871</v>
      </c>
      <c r="M222" s="264">
        <v>20261</v>
      </c>
      <c r="N222" s="264">
        <v>20657</v>
      </c>
    </row>
    <row r="223" spans="1:14" hidden="1">
      <c r="E223" s="255" t="s">
        <v>226</v>
      </c>
      <c r="L223" s="264">
        <v>366878</v>
      </c>
      <c r="M223" s="264">
        <v>366488</v>
      </c>
      <c r="N223" s="264">
        <v>366092</v>
      </c>
    </row>
    <row r="224" spans="1:14" hidden="1">
      <c r="E224" s="255" t="s">
        <v>192</v>
      </c>
      <c r="L224" s="264">
        <v>66</v>
      </c>
      <c r="M224" s="264">
        <v>66</v>
      </c>
      <c r="N224" s="264">
        <v>66</v>
      </c>
    </row>
    <row r="225" spans="1:14" hidden="1">
      <c r="E225" s="255" t="s">
        <v>209</v>
      </c>
      <c r="L225" s="264">
        <v>20572</v>
      </c>
      <c r="M225" s="264">
        <v>20572</v>
      </c>
      <c r="N225" s="264">
        <v>20572</v>
      </c>
    </row>
    <row r="226" spans="1:14" hidden="1">
      <c r="E226" s="255" t="s">
        <v>215</v>
      </c>
      <c r="L226" s="264">
        <v>5309</v>
      </c>
      <c r="M226" s="264">
        <v>5309</v>
      </c>
      <c r="N226" s="264">
        <v>5309</v>
      </c>
    </row>
    <row r="227" spans="1:14" hidden="1">
      <c r="E227" s="255" t="s">
        <v>283</v>
      </c>
      <c r="L227" s="264">
        <v>5367</v>
      </c>
      <c r="M227" s="264">
        <v>5367</v>
      </c>
      <c r="N227" s="264">
        <v>5367</v>
      </c>
    </row>
    <row r="228" spans="1:14" hidden="1">
      <c r="E228" s="255" t="s">
        <v>367</v>
      </c>
      <c r="L228" s="264">
        <v>78534</v>
      </c>
      <c r="M228" s="264">
        <v>78534</v>
      </c>
      <c r="N228" s="264">
        <v>78534</v>
      </c>
    </row>
    <row r="229" spans="1:14" hidden="1">
      <c r="C229" s="249">
        <v>52</v>
      </c>
      <c r="D229" s="249" t="s">
        <v>69</v>
      </c>
      <c r="E229" s="255" t="s">
        <v>84</v>
      </c>
      <c r="L229" s="264">
        <v>384807</v>
      </c>
      <c r="M229" s="264">
        <v>268883</v>
      </c>
      <c r="N229" s="264">
        <v>148499</v>
      </c>
    </row>
    <row r="230" spans="1:14" hidden="1">
      <c r="E230" s="255" t="s">
        <v>226</v>
      </c>
      <c r="L230" s="264">
        <v>11902</v>
      </c>
      <c r="M230" s="264">
        <v>8316</v>
      </c>
      <c r="N230" s="264">
        <v>4592</v>
      </c>
    </row>
    <row r="231" spans="1:14" hidden="1">
      <c r="C231" s="249">
        <v>61</v>
      </c>
      <c r="D231" s="249" t="s">
        <v>276</v>
      </c>
      <c r="E231" s="255" t="s">
        <v>84</v>
      </c>
      <c r="L231" s="264">
        <v>992481</v>
      </c>
      <c r="M231" s="264">
        <v>1012092</v>
      </c>
      <c r="N231" s="264">
        <v>1032095</v>
      </c>
    </row>
    <row r="232" spans="1:14" hidden="1">
      <c r="E232" s="255" t="s">
        <v>226</v>
      </c>
      <c r="L232" s="264">
        <v>555073</v>
      </c>
      <c r="M232" s="264">
        <v>555073</v>
      </c>
      <c r="N232" s="264">
        <v>555073</v>
      </c>
    </row>
    <row r="233" spans="1:14" hidden="1">
      <c r="E233" s="255" t="s">
        <v>192</v>
      </c>
      <c r="L233" s="264">
        <v>23</v>
      </c>
      <c r="M233" s="264">
        <v>23</v>
      </c>
      <c r="N233" s="264">
        <v>23</v>
      </c>
    </row>
    <row r="234" spans="1:14" hidden="1">
      <c r="E234" s="255" t="s">
        <v>209</v>
      </c>
      <c r="L234" s="264">
        <v>3327</v>
      </c>
      <c r="M234" s="264">
        <v>3327</v>
      </c>
      <c r="N234" s="264">
        <v>3327</v>
      </c>
    </row>
    <row r="235" spans="1:14" hidden="1">
      <c r="E235" s="255" t="s">
        <v>367</v>
      </c>
      <c r="L235" s="264">
        <v>532082</v>
      </c>
      <c r="M235" s="264">
        <v>532082</v>
      </c>
      <c r="N235" s="264">
        <v>532082</v>
      </c>
    </row>
    <row r="236" spans="1:14" hidden="1">
      <c r="C236" s="249">
        <v>71</v>
      </c>
      <c r="D236" s="249" t="s">
        <v>387</v>
      </c>
      <c r="E236" s="255" t="s">
        <v>226</v>
      </c>
      <c r="L236" s="264">
        <v>3318</v>
      </c>
      <c r="M236" s="264">
        <v>3318</v>
      </c>
      <c r="N236" s="264">
        <v>3318</v>
      </c>
    </row>
    <row r="237" spans="1:14" ht="30" hidden="1">
      <c r="A237" s="249" t="s">
        <v>372</v>
      </c>
      <c r="B237" s="252" t="s">
        <v>373</v>
      </c>
      <c r="C237" s="249">
        <v>563</v>
      </c>
      <c r="D237" s="249" t="s">
        <v>374</v>
      </c>
      <c r="E237" s="255" t="s">
        <v>84</v>
      </c>
      <c r="L237" s="264">
        <v>381747.84986989014</v>
      </c>
      <c r="M237" s="264">
        <v>0</v>
      </c>
      <c r="N237" s="264">
        <v>0</v>
      </c>
    </row>
    <row r="238" spans="1:14" hidden="1">
      <c r="E238" s="255" t="s">
        <v>226</v>
      </c>
      <c r="L238" s="264">
        <v>1079260.9336062027</v>
      </c>
      <c r="M238" s="264">
        <v>0</v>
      </c>
      <c r="N238" s="264">
        <v>0</v>
      </c>
    </row>
    <row r="239" spans="1:14" hidden="1">
      <c r="E239" s="255" t="s">
        <v>367</v>
      </c>
      <c r="L239" s="264">
        <v>1075520.4338696292</v>
      </c>
      <c r="M239" s="264">
        <v>0</v>
      </c>
      <c r="N239" s="264">
        <v>0</v>
      </c>
    </row>
    <row r="240" spans="1:14" ht="45" hidden="1">
      <c r="A240" s="249" t="s">
        <v>375</v>
      </c>
      <c r="B240" s="252" t="s">
        <v>376</v>
      </c>
      <c r="C240" s="249">
        <v>5761</v>
      </c>
      <c r="D240" s="249" t="s">
        <v>377</v>
      </c>
      <c r="E240" s="255" t="s">
        <v>226</v>
      </c>
      <c r="L240" s="264">
        <v>167079.96984219342</v>
      </c>
      <c r="M240" s="264"/>
      <c r="N240" s="264"/>
    </row>
    <row r="241" spans="1:14" hidden="1">
      <c r="E241" s="255" t="s">
        <v>367</v>
      </c>
      <c r="L241" s="264">
        <v>4797790.3408162454</v>
      </c>
      <c r="M241" s="264"/>
      <c r="N241" s="264"/>
    </row>
    <row r="242" spans="1:14" ht="45" hidden="1">
      <c r="A242" s="249" t="s">
        <v>378</v>
      </c>
      <c r="B242" s="252" t="s">
        <v>379</v>
      </c>
      <c r="C242" s="249">
        <v>581</v>
      </c>
      <c r="D242" s="249" t="s">
        <v>380</v>
      </c>
      <c r="E242" s="255" t="s">
        <v>226</v>
      </c>
      <c r="L242" s="264">
        <v>57202.359477967759</v>
      </c>
      <c r="M242" s="264"/>
      <c r="N242" s="264"/>
    </row>
    <row r="243" spans="1:14" hidden="1">
      <c r="E243" s="255" t="s">
        <v>367</v>
      </c>
      <c r="L243" s="264">
        <v>4439779.4543545321</v>
      </c>
      <c r="M243" s="264"/>
      <c r="N243" s="264"/>
    </row>
    <row r="244" spans="1:14" ht="30" hidden="1">
      <c r="A244" s="249" t="s">
        <v>363</v>
      </c>
      <c r="B244" s="252" t="s">
        <v>364</v>
      </c>
      <c r="C244" s="249">
        <v>11</v>
      </c>
      <c r="D244" s="249" t="s">
        <v>100</v>
      </c>
      <c r="E244" s="255" t="s">
        <v>84</v>
      </c>
      <c r="L244" s="264">
        <v>4969009.6298769563</v>
      </c>
      <c r="M244" s="264">
        <v>4992610.9334304836</v>
      </c>
      <c r="N244" s="264">
        <v>5016333.141329377</v>
      </c>
    </row>
    <row r="245" spans="1:14" hidden="1">
      <c r="E245" s="255" t="s">
        <v>226</v>
      </c>
      <c r="L245" s="264">
        <v>104492.5974535666</v>
      </c>
      <c r="M245" s="264">
        <v>104988.90591245347</v>
      </c>
      <c r="N245" s="264">
        <v>105487.75685163957</v>
      </c>
    </row>
    <row r="246" spans="1:14" hidden="1">
      <c r="A246" s="249" t="s">
        <v>383</v>
      </c>
      <c r="B246" s="252" t="s">
        <v>384</v>
      </c>
      <c r="C246" s="249">
        <v>11</v>
      </c>
      <c r="D246" s="249" t="s">
        <v>100</v>
      </c>
      <c r="E246" s="255" t="s">
        <v>84</v>
      </c>
      <c r="L246" s="264">
        <v>143056.93600000002</v>
      </c>
      <c r="M246" s="264">
        <v>143056.93600000002</v>
      </c>
      <c r="N246" s="264">
        <v>143056.93600000002</v>
      </c>
    </row>
    <row r="247" spans="1:14" ht="30" hidden="1">
      <c r="A247" s="249" t="s">
        <v>365</v>
      </c>
      <c r="B247" s="252" t="s">
        <v>366</v>
      </c>
      <c r="C247" s="249">
        <v>11</v>
      </c>
      <c r="D247" s="249" t="s">
        <v>100</v>
      </c>
      <c r="E247" s="255" t="s">
        <v>226</v>
      </c>
      <c r="L247" s="264">
        <v>481377.52957928763</v>
      </c>
      <c r="M247" s="264">
        <v>481377.52957928763</v>
      </c>
      <c r="N247" s="264">
        <v>481377.52957928763</v>
      </c>
    </row>
    <row r="248" spans="1:14" hidden="1">
      <c r="E248" s="255" t="s">
        <v>367</v>
      </c>
      <c r="L248" s="264">
        <v>41468.221459913511</v>
      </c>
      <c r="M248" s="264">
        <v>41468.221459913511</v>
      </c>
      <c r="N248" s="264">
        <v>41468.221459913511</v>
      </c>
    </row>
    <row r="249" spans="1:14" ht="30" hidden="1">
      <c r="A249" s="249" t="s">
        <v>368</v>
      </c>
      <c r="B249" s="252" t="s">
        <v>369</v>
      </c>
      <c r="C249" s="249">
        <v>51</v>
      </c>
      <c r="D249" s="249" t="s">
        <v>109</v>
      </c>
      <c r="E249" s="255" t="s">
        <v>84</v>
      </c>
      <c r="L249" s="264">
        <v>182382</v>
      </c>
      <c r="M249" s="264">
        <v>75049</v>
      </c>
      <c r="N249" s="264">
        <v>58531</v>
      </c>
    </row>
    <row r="250" spans="1:14" hidden="1">
      <c r="E250" s="255" t="s">
        <v>226</v>
      </c>
      <c r="L250" s="264">
        <v>181833</v>
      </c>
      <c r="M250" s="264">
        <v>60031</v>
      </c>
      <c r="N250" s="264">
        <v>44794</v>
      </c>
    </row>
    <row r="251" spans="1:14" hidden="1">
      <c r="E251" s="255" t="s">
        <v>367</v>
      </c>
      <c r="L251" s="264">
        <v>77311</v>
      </c>
      <c r="M251" s="264"/>
      <c r="N251" s="264"/>
    </row>
    <row r="252" spans="1:14" ht="30" hidden="1">
      <c r="A252" s="249" t="s">
        <v>370</v>
      </c>
      <c r="B252" s="252" t="s">
        <v>371</v>
      </c>
      <c r="C252" s="249">
        <v>31</v>
      </c>
      <c r="D252" s="249" t="s">
        <v>333</v>
      </c>
      <c r="E252" s="255" t="s">
        <v>84</v>
      </c>
      <c r="L252" s="264">
        <v>1533970</v>
      </c>
      <c r="M252" s="264">
        <v>1564651</v>
      </c>
      <c r="N252" s="264">
        <v>1595942</v>
      </c>
    </row>
    <row r="253" spans="1:14" hidden="1">
      <c r="E253" s="255" t="s">
        <v>226</v>
      </c>
      <c r="L253" s="264">
        <v>1271867</v>
      </c>
      <c r="M253" s="264">
        <v>1489010</v>
      </c>
      <c r="N253" s="264">
        <v>1518685</v>
      </c>
    </row>
    <row r="254" spans="1:14" hidden="1">
      <c r="E254" s="255" t="s">
        <v>192</v>
      </c>
      <c r="L254" s="264">
        <v>16370</v>
      </c>
      <c r="M254" s="264">
        <v>14320</v>
      </c>
      <c r="N254" s="264">
        <v>14350</v>
      </c>
    </row>
    <row r="255" spans="1:14" hidden="1">
      <c r="E255" s="255" t="s">
        <v>367</v>
      </c>
      <c r="L255" s="264">
        <v>54908</v>
      </c>
      <c r="M255" s="264">
        <v>60307</v>
      </c>
      <c r="N255" s="264">
        <v>62712</v>
      </c>
    </row>
    <row r="256" spans="1:14" hidden="1">
      <c r="E256" s="255" t="s">
        <v>396</v>
      </c>
      <c r="L256" s="264">
        <v>4232</v>
      </c>
      <c r="M256" s="264">
        <v>4232</v>
      </c>
      <c r="N256" s="264">
        <v>4232</v>
      </c>
    </row>
    <row r="257" spans="1:14" hidden="1">
      <c r="C257" s="249">
        <v>52</v>
      </c>
      <c r="D257" s="249" t="s">
        <v>69</v>
      </c>
      <c r="E257" s="255" t="s">
        <v>84</v>
      </c>
      <c r="L257" s="264">
        <v>324241</v>
      </c>
      <c r="M257" s="264">
        <v>155541</v>
      </c>
      <c r="N257" s="264">
        <v>104988</v>
      </c>
    </row>
    <row r="258" spans="1:14" hidden="1">
      <c r="E258" s="255" t="s">
        <v>226</v>
      </c>
      <c r="L258" s="264">
        <v>193532</v>
      </c>
      <c r="M258" s="264">
        <v>77263</v>
      </c>
      <c r="N258" s="264">
        <v>40301</v>
      </c>
    </row>
    <row r="259" spans="1:14" hidden="1">
      <c r="E259" s="255" t="s">
        <v>367</v>
      </c>
      <c r="L259" s="264">
        <v>135000</v>
      </c>
      <c r="M259" s="264">
        <v>4798</v>
      </c>
      <c r="N259" s="264">
        <v>1347</v>
      </c>
    </row>
    <row r="260" spans="1:14" hidden="1">
      <c r="C260" s="249">
        <v>61</v>
      </c>
      <c r="D260" s="249" t="s">
        <v>276</v>
      </c>
      <c r="E260" s="255" t="s">
        <v>84</v>
      </c>
      <c r="L260" s="264">
        <v>166012</v>
      </c>
      <c r="M260" s="264">
        <v>3815</v>
      </c>
      <c r="N260" s="264"/>
    </row>
    <row r="261" spans="1:14" hidden="1">
      <c r="E261" s="255" t="s">
        <v>226</v>
      </c>
      <c r="L261" s="264">
        <v>91289</v>
      </c>
      <c r="M261" s="264"/>
      <c r="N261" s="264"/>
    </row>
    <row r="262" spans="1:14" hidden="1">
      <c r="E262" s="255" t="s">
        <v>367</v>
      </c>
      <c r="L262" s="264">
        <v>25800</v>
      </c>
      <c r="M262" s="264"/>
      <c r="N262" s="264"/>
    </row>
    <row r="263" spans="1:14" hidden="1">
      <c r="C263" s="249">
        <v>71</v>
      </c>
      <c r="D263" s="249" t="s">
        <v>387</v>
      </c>
      <c r="E263" s="255" t="s">
        <v>367</v>
      </c>
      <c r="L263" s="264">
        <v>1635</v>
      </c>
      <c r="M263" s="264">
        <v>1635</v>
      </c>
      <c r="N263" s="264">
        <v>1635</v>
      </c>
    </row>
    <row r="264" spans="1:14" ht="30" hidden="1">
      <c r="A264" s="249" t="s">
        <v>397</v>
      </c>
      <c r="B264" s="252" t="s">
        <v>398</v>
      </c>
      <c r="C264" s="249">
        <v>11</v>
      </c>
      <c r="D264" s="249" t="s">
        <v>100</v>
      </c>
      <c r="E264" s="255" t="s">
        <v>226</v>
      </c>
      <c r="L264" s="264">
        <v>207377.96875058865</v>
      </c>
      <c r="M264" s="264">
        <v>207377.96875058865</v>
      </c>
      <c r="N264" s="264">
        <v>207377.96875058865</v>
      </c>
    </row>
    <row r="265" spans="1:14" hidden="1">
      <c r="E265" s="255" t="s">
        <v>367</v>
      </c>
      <c r="L265" s="264">
        <v>124428.03124941138</v>
      </c>
      <c r="M265" s="264">
        <v>124428.03124941138</v>
      </c>
      <c r="N265" s="264">
        <v>124428.03124941138</v>
      </c>
    </row>
    <row r="266" spans="1:14" ht="30" hidden="1">
      <c r="A266" s="249" t="s">
        <v>372</v>
      </c>
      <c r="B266" s="252" t="s">
        <v>373</v>
      </c>
      <c r="C266" s="249">
        <v>563</v>
      </c>
      <c r="D266" s="249" t="s">
        <v>374</v>
      </c>
      <c r="E266" s="255" t="s">
        <v>84</v>
      </c>
      <c r="L266" s="264">
        <v>74809</v>
      </c>
      <c r="M266" s="264"/>
      <c r="N266" s="264"/>
    </row>
    <row r="267" spans="1:14" hidden="1">
      <c r="E267" s="255" t="s">
        <v>226</v>
      </c>
      <c r="L267" s="264">
        <v>219251</v>
      </c>
      <c r="M267" s="264"/>
      <c r="N267" s="264"/>
    </row>
    <row r="268" spans="1:14" hidden="1">
      <c r="E268" s="255" t="s">
        <v>367</v>
      </c>
      <c r="L268" s="264"/>
      <c r="M268" s="264"/>
      <c r="N268" s="264"/>
    </row>
    <row r="269" spans="1:14" ht="30" hidden="1">
      <c r="A269" s="249" t="s">
        <v>388</v>
      </c>
      <c r="B269" s="252" t="s">
        <v>389</v>
      </c>
      <c r="C269" s="249">
        <v>12</v>
      </c>
      <c r="D269" s="249" t="s">
        <v>102</v>
      </c>
      <c r="E269" s="255" t="s">
        <v>84</v>
      </c>
      <c r="L269" s="264">
        <v>11863.296247595359</v>
      </c>
      <c r="M269" s="264"/>
      <c r="N269" s="264"/>
    </row>
    <row r="270" spans="1:14" hidden="1">
      <c r="C270" s="249">
        <v>561</v>
      </c>
      <c r="D270" s="249" t="s">
        <v>390</v>
      </c>
      <c r="E270" s="255" t="s">
        <v>84</v>
      </c>
      <c r="L270" s="264">
        <v>67225.345403040366</v>
      </c>
      <c r="M270" s="264"/>
      <c r="N270" s="264"/>
    </row>
    <row r="271" spans="1:14" ht="45" hidden="1">
      <c r="A271" s="249" t="s">
        <v>375</v>
      </c>
      <c r="B271" s="252" t="s">
        <v>376</v>
      </c>
      <c r="C271" s="249">
        <v>5761</v>
      </c>
      <c r="D271" s="249" t="s">
        <v>377</v>
      </c>
      <c r="E271" s="255" t="s">
        <v>226</v>
      </c>
      <c r="L271" s="264">
        <v>325723.28363061446</v>
      </c>
      <c r="M271" s="264"/>
      <c r="N271" s="264"/>
    </row>
    <row r="272" spans="1:14" hidden="1">
      <c r="E272" s="255" t="s">
        <v>322</v>
      </c>
      <c r="L272" s="264">
        <v>5938873.6872599302</v>
      </c>
      <c r="M272" s="264"/>
      <c r="N272" s="264"/>
    </row>
    <row r="273" spans="1:14" ht="45" hidden="1">
      <c r="A273" s="249" t="s">
        <v>378</v>
      </c>
      <c r="B273" s="252" t="s">
        <v>379</v>
      </c>
      <c r="C273" s="249">
        <v>581</v>
      </c>
      <c r="D273" s="249" t="s">
        <v>380</v>
      </c>
      <c r="E273" s="255" t="s">
        <v>226</v>
      </c>
      <c r="L273" s="264">
        <v>267094.84668038384</v>
      </c>
      <c r="M273" s="264"/>
      <c r="N273" s="264"/>
    </row>
    <row r="274" spans="1:14" hidden="1">
      <c r="E274" s="255" t="s">
        <v>322</v>
      </c>
      <c r="L274" s="264">
        <v>4126545.8683959134</v>
      </c>
      <c r="M274" s="264"/>
      <c r="N274" s="264"/>
    </row>
    <row r="275" spans="1:14" ht="30" hidden="1">
      <c r="A275" s="249" t="s">
        <v>363</v>
      </c>
      <c r="B275" s="252" t="s">
        <v>364</v>
      </c>
      <c r="C275" s="249">
        <v>11</v>
      </c>
      <c r="D275" s="249" t="s">
        <v>100</v>
      </c>
      <c r="E275" s="255" t="s">
        <v>84</v>
      </c>
      <c r="L275" s="264">
        <v>6887027.467797881</v>
      </c>
      <c r="M275" s="264">
        <v>6919738.7801027866</v>
      </c>
      <c r="N275" s="264">
        <v>6952617.6653466728</v>
      </c>
    </row>
    <row r="276" spans="1:14" hidden="1">
      <c r="E276" s="255" t="s">
        <v>226</v>
      </c>
      <c r="L276" s="264">
        <v>186056.91158577209</v>
      </c>
      <c r="M276" s="264">
        <v>186940.62604310882</v>
      </c>
      <c r="N276" s="264">
        <v>187828.86757742299</v>
      </c>
    </row>
    <row r="277" spans="1:14" ht="30" hidden="1">
      <c r="A277" s="249" t="s">
        <v>365</v>
      </c>
      <c r="B277" s="252" t="s">
        <v>366</v>
      </c>
      <c r="C277" s="249">
        <v>11</v>
      </c>
      <c r="D277" s="249" t="s">
        <v>100</v>
      </c>
      <c r="E277" s="255" t="s">
        <v>226</v>
      </c>
      <c r="L277" s="264">
        <v>500477.2977701464</v>
      </c>
      <c r="M277" s="264">
        <v>500477.2977701464</v>
      </c>
      <c r="N277" s="264">
        <v>500477.2977701464</v>
      </c>
    </row>
    <row r="278" spans="1:14" hidden="1">
      <c r="E278" s="255" t="s">
        <v>192</v>
      </c>
      <c r="L278" s="264">
        <v>2413.3470357582851</v>
      </c>
      <c r="M278" s="264">
        <v>2413.3470357582851</v>
      </c>
      <c r="N278" s="264">
        <v>2413.3470357582851</v>
      </c>
    </row>
    <row r="279" spans="1:14" hidden="1">
      <c r="E279" s="255" t="s">
        <v>367</v>
      </c>
      <c r="L279" s="264">
        <v>51367.033538886513</v>
      </c>
      <c r="M279" s="264">
        <v>51367.033538886513</v>
      </c>
      <c r="N279" s="264">
        <v>51367.033538886513</v>
      </c>
    </row>
    <row r="280" spans="1:14" hidden="1">
      <c r="E280" s="255" t="s">
        <v>322</v>
      </c>
      <c r="L280" s="264">
        <v>1588.5665959725577</v>
      </c>
      <c r="M280" s="264">
        <v>1588.5665959725577</v>
      </c>
      <c r="N280" s="264">
        <v>1588.5665959725577</v>
      </c>
    </row>
    <row r="281" spans="1:14" ht="30" hidden="1">
      <c r="A281" s="249" t="s">
        <v>368</v>
      </c>
      <c r="B281" s="252" t="s">
        <v>369</v>
      </c>
      <c r="C281" s="249">
        <v>51</v>
      </c>
      <c r="D281" s="249" t="s">
        <v>109</v>
      </c>
      <c r="E281" s="255" t="s">
        <v>84</v>
      </c>
      <c r="L281" s="264">
        <v>21041</v>
      </c>
      <c r="M281" s="264">
        <v>21041</v>
      </c>
      <c r="N281" s="264">
        <v>3307</v>
      </c>
    </row>
    <row r="282" spans="1:14" hidden="1">
      <c r="E282" s="255" t="s">
        <v>226</v>
      </c>
      <c r="L282" s="264">
        <v>32417</v>
      </c>
      <c r="M282" s="264">
        <v>43921</v>
      </c>
      <c r="N282" s="264">
        <v>8377</v>
      </c>
    </row>
    <row r="283" spans="1:14" hidden="1">
      <c r="E283" s="255" t="s">
        <v>192</v>
      </c>
      <c r="L283" s="264">
        <v>560</v>
      </c>
      <c r="M283" s="264">
        <v>400</v>
      </c>
      <c r="N283" s="264">
        <v>0</v>
      </c>
    </row>
    <row r="284" spans="1:14" hidden="1">
      <c r="E284" s="255" t="s">
        <v>367</v>
      </c>
      <c r="L284" s="264">
        <v>9730</v>
      </c>
      <c r="M284" s="264">
        <v>0</v>
      </c>
      <c r="N284" s="264">
        <v>0</v>
      </c>
    </row>
    <row r="285" spans="1:14" hidden="1">
      <c r="C285" s="249">
        <v>52</v>
      </c>
      <c r="D285" s="249" t="s">
        <v>69</v>
      </c>
      <c r="E285" s="255" t="s">
        <v>84</v>
      </c>
      <c r="L285" s="264">
        <v>7813</v>
      </c>
      <c r="M285" s="264">
        <v>2000</v>
      </c>
      <c r="N285" s="264">
        <v>0</v>
      </c>
    </row>
    <row r="286" spans="1:14" hidden="1">
      <c r="E286" s="255" t="s">
        <v>226</v>
      </c>
      <c r="L286" s="264">
        <v>9841</v>
      </c>
      <c r="M286" s="264">
        <v>5390</v>
      </c>
      <c r="N286" s="264">
        <v>0</v>
      </c>
    </row>
    <row r="287" spans="1:14" hidden="1">
      <c r="E287" s="255" t="s">
        <v>204</v>
      </c>
      <c r="L287" s="264">
        <v>47544</v>
      </c>
      <c r="M287" s="264">
        <v>0</v>
      </c>
      <c r="N287" s="264">
        <v>0</v>
      </c>
    </row>
    <row r="288" spans="1:14" hidden="1">
      <c r="E288" s="255" t="s">
        <v>367</v>
      </c>
      <c r="L288" s="264">
        <v>4530</v>
      </c>
      <c r="M288" s="264">
        <v>330</v>
      </c>
      <c r="N288" s="264">
        <v>0</v>
      </c>
    </row>
    <row r="289" spans="1:14" hidden="1">
      <c r="C289" s="249">
        <v>61</v>
      </c>
      <c r="D289" s="249" t="s">
        <v>276</v>
      </c>
      <c r="E289" s="255" t="s">
        <v>84</v>
      </c>
      <c r="L289" s="264">
        <v>28257</v>
      </c>
      <c r="M289" s="264">
        <v>0</v>
      </c>
      <c r="N289" s="264">
        <v>0</v>
      </c>
    </row>
    <row r="290" spans="1:14" hidden="1">
      <c r="E290" s="255" t="s">
        <v>226</v>
      </c>
      <c r="L290" s="264">
        <v>45127</v>
      </c>
      <c r="M290" s="264">
        <v>0</v>
      </c>
      <c r="N290" s="264">
        <v>0</v>
      </c>
    </row>
    <row r="291" spans="1:14" hidden="1">
      <c r="E291" s="255" t="s">
        <v>192</v>
      </c>
      <c r="L291" s="264">
        <v>265</v>
      </c>
      <c r="M291" s="264">
        <v>0</v>
      </c>
      <c r="N291" s="264">
        <v>0</v>
      </c>
    </row>
    <row r="292" spans="1:14" hidden="1">
      <c r="E292" s="255" t="s">
        <v>367</v>
      </c>
      <c r="L292" s="264">
        <v>1991</v>
      </c>
      <c r="M292" s="264">
        <v>0</v>
      </c>
      <c r="N292" s="264">
        <v>0</v>
      </c>
    </row>
    <row r="293" spans="1:14" ht="30" hidden="1">
      <c r="A293" s="249" t="s">
        <v>370</v>
      </c>
      <c r="B293" s="252" t="s">
        <v>371</v>
      </c>
      <c r="C293" s="249">
        <v>31</v>
      </c>
      <c r="D293" s="249" t="s">
        <v>333</v>
      </c>
      <c r="E293" s="255" t="s">
        <v>84</v>
      </c>
      <c r="L293" s="264">
        <v>599443</v>
      </c>
      <c r="M293" s="264">
        <v>611431</v>
      </c>
      <c r="N293" s="264">
        <v>623660</v>
      </c>
    </row>
    <row r="294" spans="1:14" hidden="1">
      <c r="E294" s="255" t="s">
        <v>226</v>
      </c>
      <c r="L294" s="264">
        <v>332431.09162850882</v>
      </c>
      <c r="M294" s="264">
        <v>339079.89346107893</v>
      </c>
      <c r="N294" s="264">
        <v>345860.91133030067</v>
      </c>
    </row>
    <row r="295" spans="1:14" hidden="1">
      <c r="E295" s="255" t="s">
        <v>192</v>
      </c>
      <c r="L295" s="264">
        <v>12030.749352976309</v>
      </c>
      <c r="M295" s="264">
        <v>12271.364340035836</v>
      </c>
      <c r="N295" s="264">
        <v>12516.791626836552</v>
      </c>
    </row>
    <row r="296" spans="1:14" hidden="1">
      <c r="E296" s="255" t="s">
        <v>215</v>
      </c>
      <c r="L296" s="264">
        <v>208.7931515030858</v>
      </c>
      <c r="M296" s="264">
        <v>212.96901453314752</v>
      </c>
      <c r="N296" s="264">
        <v>217.22839482381048</v>
      </c>
    </row>
    <row r="297" spans="1:14" hidden="1">
      <c r="E297" s="255" t="s">
        <v>367</v>
      </c>
      <c r="L297" s="264">
        <v>50487.563687039612</v>
      </c>
      <c r="M297" s="264">
        <v>51497.314960780408</v>
      </c>
      <c r="N297" s="264">
        <v>52527.261259996012</v>
      </c>
    </row>
    <row r="298" spans="1:14" hidden="1">
      <c r="E298" s="255" t="s">
        <v>322</v>
      </c>
      <c r="L298" s="264">
        <v>4180.7684650607207</v>
      </c>
      <c r="M298" s="264">
        <v>4264.3838343619354</v>
      </c>
      <c r="N298" s="264">
        <v>4349.6715110491741</v>
      </c>
    </row>
    <row r="299" spans="1:14" hidden="1">
      <c r="C299" s="249">
        <v>43</v>
      </c>
      <c r="D299" s="249" t="s">
        <v>104</v>
      </c>
      <c r="E299" s="255" t="s">
        <v>226</v>
      </c>
      <c r="L299" s="264">
        <v>97169.403543698965</v>
      </c>
      <c r="M299" s="264">
        <v>99112.431614572983</v>
      </c>
      <c r="N299" s="264">
        <v>101095.12024686443</v>
      </c>
    </row>
    <row r="300" spans="1:14" hidden="1">
      <c r="E300" s="255" t="s">
        <v>215</v>
      </c>
      <c r="L300" s="264">
        <v>2654.4561682925209</v>
      </c>
      <c r="M300" s="264">
        <v>2707.5452916583713</v>
      </c>
      <c r="N300" s="264">
        <v>2761.6961974915389</v>
      </c>
    </row>
    <row r="301" spans="1:14" hidden="1">
      <c r="E301" s="255" t="s">
        <v>367</v>
      </c>
      <c r="L301" s="264">
        <v>46471.564138297166</v>
      </c>
      <c r="M301" s="264">
        <v>47400.995421063104</v>
      </c>
      <c r="N301" s="264">
        <v>48349.015329484369</v>
      </c>
    </row>
    <row r="302" spans="1:14" hidden="1">
      <c r="E302" s="255" t="s">
        <v>322</v>
      </c>
      <c r="L302" s="264">
        <v>4645.298294511912</v>
      </c>
      <c r="M302" s="264">
        <v>4738.2042604021499</v>
      </c>
      <c r="N302" s="264">
        <v>4832.968345610193</v>
      </c>
    </row>
    <row r="303" spans="1:14" hidden="1">
      <c r="C303" s="249">
        <v>52</v>
      </c>
      <c r="D303" s="249" t="s">
        <v>69</v>
      </c>
      <c r="E303" s="255" t="s">
        <v>84</v>
      </c>
      <c r="L303" s="264">
        <v>262190</v>
      </c>
      <c r="M303" s="264">
        <v>192969</v>
      </c>
      <c r="N303" s="264">
        <v>83634</v>
      </c>
    </row>
    <row r="304" spans="1:14" hidden="1">
      <c r="E304" s="255" t="s">
        <v>226</v>
      </c>
      <c r="L304" s="264">
        <v>244614</v>
      </c>
      <c r="M304" s="264">
        <v>85997</v>
      </c>
      <c r="N304" s="264">
        <v>2147</v>
      </c>
    </row>
    <row r="305" spans="1:14" hidden="1">
      <c r="E305" s="255" t="s">
        <v>209</v>
      </c>
      <c r="L305" s="264">
        <v>6291</v>
      </c>
      <c r="M305" s="264">
        <v>2787</v>
      </c>
      <c r="N305" s="264">
        <v>0</v>
      </c>
    </row>
    <row r="306" spans="1:14" hidden="1">
      <c r="E306" s="255" t="s">
        <v>367</v>
      </c>
      <c r="L306" s="264">
        <v>23359</v>
      </c>
      <c r="M306" s="264">
        <v>0</v>
      </c>
      <c r="N306" s="264">
        <v>0</v>
      </c>
    </row>
    <row r="307" spans="1:14" hidden="1">
      <c r="C307" s="249">
        <v>71</v>
      </c>
      <c r="D307" s="249" t="s">
        <v>387</v>
      </c>
      <c r="E307" s="255" t="s">
        <v>226</v>
      </c>
      <c r="L307" s="264">
        <v>332</v>
      </c>
      <c r="M307" s="264">
        <v>265</v>
      </c>
      <c r="N307" s="264">
        <v>199</v>
      </c>
    </row>
    <row r="308" spans="1:14" ht="30" hidden="1">
      <c r="A308" s="249" t="s">
        <v>372</v>
      </c>
      <c r="B308" s="252" t="s">
        <v>373</v>
      </c>
      <c r="C308" s="249">
        <v>563</v>
      </c>
      <c r="D308" s="249" t="s">
        <v>374</v>
      </c>
      <c r="E308" s="255" t="s">
        <v>84</v>
      </c>
      <c r="L308" s="264">
        <v>115381</v>
      </c>
      <c r="M308" s="264">
        <v>0</v>
      </c>
      <c r="N308" s="264">
        <v>0</v>
      </c>
    </row>
    <row r="309" spans="1:14" hidden="1">
      <c r="E309" s="255" t="s">
        <v>226</v>
      </c>
      <c r="L309" s="264">
        <v>308884</v>
      </c>
      <c r="M309" s="264">
        <v>0</v>
      </c>
      <c r="N309" s="264">
        <v>0</v>
      </c>
    </row>
    <row r="310" spans="1:14" ht="30" hidden="1">
      <c r="A310" s="249" t="s">
        <v>388</v>
      </c>
      <c r="B310" s="252" t="s">
        <v>389</v>
      </c>
      <c r="C310" s="249">
        <v>561</v>
      </c>
      <c r="D310" s="249" t="s">
        <v>390</v>
      </c>
      <c r="E310" s="255" t="s">
        <v>226</v>
      </c>
      <c r="L310" s="264"/>
      <c r="M310" s="264">
        <v>0</v>
      </c>
      <c r="N310" s="264">
        <v>0</v>
      </c>
    </row>
    <row r="311" spans="1:14" hidden="1">
      <c r="E311" s="255" t="s">
        <v>367</v>
      </c>
      <c r="L311" s="264"/>
      <c r="M311" s="264">
        <v>0</v>
      </c>
      <c r="N311" s="264">
        <v>0</v>
      </c>
    </row>
    <row r="312" spans="1:14" ht="30" hidden="1">
      <c r="A312" s="249" t="s">
        <v>363</v>
      </c>
      <c r="B312" s="252" t="s">
        <v>364</v>
      </c>
      <c r="C312" s="249">
        <v>11</v>
      </c>
      <c r="D312" s="249" t="s">
        <v>100</v>
      </c>
      <c r="E312" s="255" t="s">
        <v>84</v>
      </c>
      <c r="L312" s="264">
        <v>2854405.7298862142</v>
      </c>
      <c r="M312" s="264">
        <v>2867963.2999281231</v>
      </c>
      <c r="N312" s="264">
        <v>2881590.3224528972</v>
      </c>
    </row>
    <row r="313" spans="1:14" hidden="1">
      <c r="E313" s="255" t="s">
        <v>226</v>
      </c>
      <c r="L313" s="264">
        <v>46030.168174537081</v>
      </c>
      <c r="M313" s="264">
        <v>46248.797650554843</v>
      </c>
      <c r="N313" s="264">
        <v>46468.547117831367</v>
      </c>
    </row>
    <row r="314" spans="1:14" ht="30" hidden="1">
      <c r="A314" s="249" t="s">
        <v>365</v>
      </c>
      <c r="B314" s="252" t="s">
        <v>366</v>
      </c>
      <c r="C314" s="249">
        <v>11</v>
      </c>
      <c r="D314" s="249" t="s">
        <v>100</v>
      </c>
      <c r="E314" s="255" t="s">
        <v>226</v>
      </c>
      <c r="L314" s="264">
        <v>235188.32867087741</v>
      </c>
      <c r="M314" s="264">
        <v>235188.32867087741</v>
      </c>
      <c r="N314" s="264">
        <v>235188.32867087741</v>
      </c>
    </row>
    <row r="315" spans="1:14" hidden="1">
      <c r="E315" s="255" t="s">
        <v>192</v>
      </c>
      <c r="L315" s="264">
        <v>1808.8488609707113</v>
      </c>
      <c r="M315" s="264">
        <v>1808.8488609707113</v>
      </c>
      <c r="N315" s="264">
        <v>1808.8488609707113</v>
      </c>
    </row>
    <row r="316" spans="1:14" hidden="1">
      <c r="E316" s="255" t="s">
        <v>367</v>
      </c>
      <c r="L316" s="264">
        <v>32802.000430893793</v>
      </c>
      <c r="M316" s="264">
        <v>32802.000430893793</v>
      </c>
      <c r="N316" s="264">
        <v>32802.000430893793</v>
      </c>
    </row>
    <row r="317" spans="1:14" ht="30" hidden="1">
      <c r="A317" s="249" t="s">
        <v>368</v>
      </c>
      <c r="B317" s="252" t="s">
        <v>369</v>
      </c>
      <c r="C317" s="249">
        <v>51</v>
      </c>
      <c r="D317" s="249" t="s">
        <v>109</v>
      </c>
      <c r="E317" s="255" t="s">
        <v>84</v>
      </c>
      <c r="L317" s="264">
        <v>520801</v>
      </c>
      <c r="M317" s="264">
        <v>334814</v>
      </c>
      <c r="N317" s="264">
        <v>161235</v>
      </c>
    </row>
    <row r="318" spans="1:14" hidden="1">
      <c r="E318" s="255" t="s">
        <v>226</v>
      </c>
      <c r="L318" s="264">
        <v>201530</v>
      </c>
      <c r="M318" s="264">
        <v>148136</v>
      </c>
      <c r="N318" s="264">
        <v>49752</v>
      </c>
    </row>
    <row r="319" spans="1:14" hidden="1">
      <c r="E319" s="255" t="s">
        <v>367</v>
      </c>
      <c r="L319" s="264">
        <v>57186</v>
      </c>
      <c r="M319" s="264">
        <v>49266</v>
      </c>
      <c r="N319" s="264">
        <v>28460</v>
      </c>
    </row>
    <row r="320" spans="1:14" ht="30" hidden="1">
      <c r="A320" s="249" t="s">
        <v>370</v>
      </c>
      <c r="B320" s="252" t="s">
        <v>371</v>
      </c>
      <c r="C320" s="249">
        <v>31</v>
      </c>
      <c r="D320" s="249" t="s">
        <v>333</v>
      </c>
      <c r="E320" s="255" t="s">
        <v>84</v>
      </c>
      <c r="L320" s="264">
        <v>94223</v>
      </c>
      <c r="M320" s="264">
        <v>97992</v>
      </c>
      <c r="N320" s="264">
        <v>97992</v>
      </c>
    </row>
    <row r="321" spans="1:14" hidden="1">
      <c r="E321" s="255" t="s">
        <v>226</v>
      </c>
      <c r="L321" s="264">
        <v>436348</v>
      </c>
      <c r="M321" s="264">
        <v>231152</v>
      </c>
      <c r="N321" s="264">
        <v>231152</v>
      </c>
    </row>
    <row r="322" spans="1:14" hidden="1">
      <c r="E322" s="255" t="s">
        <v>367</v>
      </c>
      <c r="L322" s="264">
        <v>214732</v>
      </c>
      <c r="M322" s="264">
        <v>29221</v>
      </c>
      <c r="N322" s="264">
        <v>29221</v>
      </c>
    </row>
    <row r="323" spans="1:14" hidden="1">
      <c r="C323" s="249">
        <v>43</v>
      </c>
      <c r="D323" s="249" t="s">
        <v>104</v>
      </c>
      <c r="E323" s="255" t="s">
        <v>84</v>
      </c>
      <c r="L323" s="264">
        <v>16888</v>
      </c>
      <c r="M323" s="264">
        <v>17394</v>
      </c>
      <c r="N323" s="264">
        <v>17394</v>
      </c>
    </row>
    <row r="324" spans="1:14" hidden="1">
      <c r="E324" s="255" t="s">
        <v>226</v>
      </c>
      <c r="L324" s="264">
        <v>14754</v>
      </c>
      <c r="M324" s="264">
        <v>15198</v>
      </c>
      <c r="N324" s="264">
        <v>15198</v>
      </c>
    </row>
    <row r="325" spans="1:14" hidden="1">
      <c r="E325" s="255" t="s">
        <v>367</v>
      </c>
      <c r="L325" s="264">
        <v>15880</v>
      </c>
      <c r="M325" s="264">
        <v>16356</v>
      </c>
      <c r="N325" s="264">
        <v>16356</v>
      </c>
    </row>
    <row r="326" spans="1:14" hidden="1">
      <c r="C326" s="249">
        <v>52</v>
      </c>
      <c r="D326" s="249" t="s">
        <v>69</v>
      </c>
      <c r="E326" s="255" t="s">
        <v>84</v>
      </c>
      <c r="L326" s="264">
        <v>24621</v>
      </c>
      <c r="M326" s="264">
        <v>2808</v>
      </c>
      <c r="N326" s="264">
        <v>0</v>
      </c>
    </row>
    <row r="327" spans="1:14" hidden="1">
      <c r="E327" s="255" t="s">
        <v>226</v>
      </c>
      <c r="L327" s="264">
        <v>9820</v>
      </c>
      <c r="M327" s="264">
        <v>5985</v>
      </c>
      <c r="N327" s="264">
        <v>4678</v>
      </c>
    </row>
    <row r="328" spans="1:14" hidden="1">
      <c r="C328" s="249">
        <v>61</v>
      </c>
      <c r="D328" s="249" t="s">
        <v>276</v>
      </c>
      <c r="E328" s="255" t="s">
        <v>226</v>
      </c>
      <c r="L328" s="264">
        <v>1990</v>
      </c>
      <c r="M328" s="264">
        <v>1990</v>
      </c>
      <c r="N328" s="264">
        <v>1990</v>
      </c>
    </row>
    <row r="329" spans="1:14" ht="30" hidden="1">
      <c r="A329" s="249" t="s">
        <v>363</v>
      </c>
      <c r="B329" s="252" t="s">
        <v>364</v>
      </c>
      <c r="C329" s="249">
        <v>11</v>
      </c>
      <c r="D329" s="249" t="s">
        <v>100</v>
      </c>
      <c r="E329" s="255" t="s">
        <v>84</v>
      </c>
      <c r="L329" s="264">
        <v>828057.24550566461</v>
      </c>
      <c r="M329" s="264">
        <v>831990.268757093</v>
      </c>
      <c r="N329" s="264">
        <v>835943.44003129657</v>
      </c>
    </row>
    <row r="330" spans="1:14" hidden="1">
      <c r="E330" s="255" t="s">
        <v>226</v>
      </c>
      <c r="L330" s="264">
        <v>4574698.8136870163</v>
      </c>
      <c r="M330" s="264">
        <v>4596427.2592747677</v>
      </c>
      <c r="N330" s="264">
        <v>4618267.014963829</v>
      </c>
    </row>
    <row r="331" spans="1:14" ht="30" hidden="1">
      <c r="A331" s="249" t="s">
        <v>365</v>
      </c>
      <c r="B331" s="252" t="s">
        <v>366</v>
      </c>
      <c r="C331" s="249">
        <v>11</v>
      </c>
      <c r="D331" s="249" t="s">
        <v>100</v>
      </c>
      <c r="E331" s="255" t="s">
        <v>226</v>
      </c>
      <c r="L331" s="264">
        <v>404739.63322371949</v>
      </c>
      <c r="M331" s="264">
        <v>404739.63322371949</v>
      </c>
      <c r="N331" s="264">
        <v>404739.63322371949</v>
      </c>
    </row>
    <row r="332" spans="1:14" hidden="1">
      <c r="E332" s="255" t="s">
        <v>192</v>
      </c>
      <c r="L332" s="264">
        <v>2381.8023568692388</v>
      </c>
      <c r="M332" s="264">
        <v>2381.8023568692388</v>
      </c>
      <c r="N332" s="264">
        <v>2381.8023568692388</v>
      </c>
    </row>
    <row r="333" spans="1:14" hidden="1">
      <c r="E333" s="255" t="s">
        <v>283</v>
      </c>
      <c r="L333" s="264">
        <v>6759.8605539151913</v>
      </c>
      <c r="M333" s="264">
        <v>6759.8605539151913</v>
      </c>
      <c r="N333" s="264">
        <v>6759.8605539151913</v>
      </c>
    </row>
    <row r="334" spans="1:14" hidden="1">
      <c r="E334" s="255" t="s">
        <v>367</v>
      </c>
      <c r="L334" s="264">
        <v>26385.581741955244</v>
      </c>
      <c r="M334" s="264">
        <v>26385.581741955244</v>
      </c>
      <c r="N334" s="264">
        <v>26385.581741955244</v>
      </c>
    </row>
    <row r="335" spans="1:14" ht="30" hidden="1">
      <c r="A335" s="249" t="s">
        <v>368</v>
      </c>
      <c r="B335" s="252" t="s">
        <v>369</v>
      </c>
      <c r="C335" s="249">
        <v>51</v>
      </c>
      <c r="D335" s="249" t="s">
        <v>109</v>
      </c>
      <c r="E335" s="255" t="s">
        <v>84</v>
      </c>
      <c r="L335" s="264">
        <v>32517</v>
      </c>
      <c r="M335" s="264"/>
      <c r="N335" s="264"/>
    </row>
    <row r="336" spans="1:14" hidden="1">
      <c r="E336" s="255" t="s">
        <v>226</v>
      </c>
      <c r="L336" s="264">
        <v>607727</v>
      </c>
      <c r="M336" s="264">
        <v>52407</v>
      </c>
      <c r="N336" s="264">
        <v>22000</v>
      </c>
    </row>
    <row r="337" spans="1:14" hidden="1">
      <c r="E337" s="255" t="s">
        <v>367</v>
      </c>
      <c r="L337" s="264">
        <v>9890</v>
      </c>
      <c r="M337" s="264">
        <v>5101</v>
      </c>
      <c r="N337" s="264"/>
    </row>
    <row r="338" spans="1:14" ht="30" hidden="1">
      <c r="A338" s="249" t="s">
        <v>370</v>
      </c>
      <c r="B338" s="252" t="s">
        <v>371</v>
      </c>
      <c r="C338" s="249">
        <v>31</v>
      </c>
      <c r="D338" s="249" t="s">
        <v>333</v>
      </c>
      <c r="E338" s="255" t="s">
        <v>84</v>
      </c>
      <c r="L338" s="264">
        <v>328329</v>
      </c>
      <c r="M338" s="264">
        <v>328329</v>
      </c>
      <c r="N338" s="264">
        <v>328329</v>
      </c>
    </row>
    <row r="339" spans="1:14" hidden="1">
      <c r="E339" s="255" t="s">
        <v>226</v>
      </c>
      <c r="L339" s="264">
        <v>608991</v>
      </c>
      <c r="M339" s="264">
        <v>608991</v>
      </c>
      <c r="N339" s="264">
        <v>608991</v>
      </c>
    </row>
    <row r="340" spans="1:14" hidden="1">
      <c r="E340" s="255" t="s">
        <v>192</v>
      </c>
      <c r="L340" s="264">
        <v>2633</v>
      </c>
      <c r="M340" s="264">
        <v>2633</v>
      </c>
      <c r="N340" s="264">
        <v>2633</v>
      </c>
    </row>
    <row r="341" spans="1:14" hidden="1">
      <c r="E341" s="255" t="s">
        <v>367</v>
      </c>
      <c r="L341" s="264">
        <v>13903</v>
      </c>
      <c r="M341" s="264">
        <v>13903</v>
      </c>
      <c r="N341" s="264">
        <v>13903</v>
      </c>
    </row>
    <row r="342" spans="1:14" hidden="1">
      <c r="C342" s="249">
        <v>43</v>
      </c>
      <c r="D342" s="249" t="s">
        <v>104</v>
      </c>
      <c r="E342" s="255" t="s">
        <v>84</v>
      </c>
      <c r="L342" s="264">
        <v>273476</v>
      </c>
      <c r="M342" s="264">
        <v>273476</v>
      </c>
      <c r="N342" s="264">
        <v>273476</v>
      </c>
    </row>
    <row r="343" spans="1:14" hidden="1">
      <c r="E343" s="255" t="s">
        <v>226</v>
      </c>
      <c r="L343" s="264">
        <v>136240</v>
      </c>
      <c r="M343" s="264">
        <v>93334</v>
      </c>
      <c r="N343" s="264">
        <v>93334</v>
      </c>
    </row>
    <row r="344" spans="1:14" hidden="1">
      <c r="E344" s="255" t="s">
        <v>192</v>
      </c>
      <c r="L344" s="264">
        <v>159</v>
      </c>
      <c r="M344" s="264">
        <v>159</v>
      </c>
      <c r="N344" s="264">
        <v>159</v>
      </c>
    </row>
    <row r="345" spans="1:14" hidden="1">
      <c r="E345" s="255" t="s">
        <v>367</v>
      </c>
      <c r="L345" s="264">
        <v>15927</v>
      </c>
      <c r="M345" s="264">
        <v>15927</v>
      </c>
      <c r="N345" s="264">
        <v>15927</v>
      </c>
    </row>
    <row r="346" spans="1:14" hidden="1">
      <c r="C346" s="249">
        <v>61</v>
      </c>
      <c r="D346" s="249" t="s">
        <v>276</v>
      </c>
      <c r="E346" s="255" t="s">
        <v>226</v>
      </c>
      <c r="L346" s="264">
        <v>3400</v>
      </c>
      <c r="M346" s="264">
        <v>3400</v>
      </c>
      <c r="N346" s="264">
        <v>3400</v>
      </c>
    </row>
    <row r="347" spans="1:14" hidden="1">
      <c r="E347" s="255" t="s">
        <v>367</v>
      </c>
      <c r="L347" s="264">
        <v>2500</v>
      </c>
      <c r="M347" s="264">
        <v>2500</v>
      </c>
      <c r="N347" s="264">
        <v>2500</v>
      </c>
    </row>
    <row r="348" spans="1:14" hidden="1">
      <c r="C348" s="249">
        <v>71</v>
      </c>
      <c r="D348" s="249" t="s">
        <v>387</v>
      </c>
      <c r="E348" s="255" t="s">
        <v>367</v>
      </c>
      <c r="L348" s="264">
        <v>660</v>
      </c>
      <c r="M348" s="264">
        <v>660</v>
      </c>
      <c r="N348" s="264">
        <v>660</v>
      </c>
    </row>
    <row r="349" spans="1:14" ht="30" hidden="1">
      <c r="A349" s="249" t="s">
        <v>363</v>
      </c>
      <c r="B349" s="252" t="s">
        <v>364</v>
      </c>
      <c r="C349" s="249">
        <v>11</v>
      </c>
      <c r="D349" s="249" t="s">
        <v>100</v>
      </c>
      <c r="E349" s="255" t="s">
        <v>84</v>
      </c>
      <c r="L349" s="264">
        <v>5763600.3554694811</v>
      </c>
      <c r="M349" s="264">
        <v>5790975.7263548113</v>
      </c>
      <c r="N349" s="264">
        <v>5818491.3353116745</v>
      </c>
    </row>
    <row r="350" spans="1:14" hidden="1">
      <c r="E350" s="255" t="s">
        <v>226</v>
      </c>
      <c r="L350" s="264">
        <v>89468.20580785608</v>
      </c>
      <c r="M350" s="264">
        <v>89893.15291823489</v>
      </c>
      <c r="N350" s="264">
        <v>90320.276940243988</v>
      </c>
    </row>
    <row r="351" spans="1:14" ht="30" hidden="1">
      <c r="A351" s="249" t="s">
        <v>365</v>
      </c>
      <c r="B351" s="252" t="s">
        <v>366</v>
      </c>
      <c r="C351" s="249">
        <v>11</v>
      </c>
      <c r="D351" s="249" t="s">
        <v>100</v>
      </c>
      <c r="E351" s="255" t="s">
        <v>226</v>
      </c>
      <c r="L351" s="264">
        <v>448280.79658638284</v>
      </c>
      <c r="M351" s="264">
        <v>448280.79658638284</v>
      </c>
      <c r="N351" s="264">
        <v>448280.79658638284</v>
      </c>
    </row>
    <row r="352" spans="1:14" ht="30" hidden="1">
      <c r="A352" s="249" t="s">
        <v>370</v>
      </c>
      <c r="B352" s="252" t="s">
        <v>371</v>
      </c>
      <c r="C352" s="249">
        <v>31</v>
      </c>
      <c r="D352" s="249" t="s">
        <v>333</v>
      </c>
      <c r="E352" s="255" t="s">
        <v>84</v>
      </c>
      <c r="L352" s="264">
        <v>81197.999867277191</v>
      </c>
      <c r="M352" s="264">
        <v>81197.999867277191</v>
      </c>
      <c r="N352" s="264">
        <v>81197.999867277191</v>
      </c>
    </row>
    <row r="353" spans="1:14" hidden="1">
      <c r="E353" s="255" t="s">
        <v>226</v>
      </c>
      <c r="L353" s="264">
        <v>314635.00298626313</v>
      </c>
      <c r="M353" s="264">
        <v>314635.00298626313</v>
      </c>
      <c r="N353" s="264">
        <v>314635.00298626313</v>
      </c>
    </row>
    <row r="354" spans="1:14" hidden="1">
      <c r="E354" s="255" t="s">
        <v>192</v>
      </c>
      <c r="L354" s="264">
        <v>1327.0011281438715</v>
      </c>
      <c r="M354" s="264">
        <v>1327.0011281438715</v>
      </c>
      <c r="N354" s="264">
        <v>1327.0011281438715</v>
      </c>
    </row>
    <row r="355" spans="1:14" hidden="1">
      <c r="C355" s="249">
        <v>43</v>
      </c>
      <c r="D355" s="249" t="s">
        <v>104</v>
      </c>
      <c r="E355" s="255" t="s">
        <v>84</v>
      </c>
      <c r="L355" s="264">
        <v>600572.00212356495</v>
      </c>
      <c r="M355" s="264">
        <v>600572.00212356495</v>
      </c>
      <c r="N355" s="264">
        <v>600572.00212356495</v>
      </c>
    </row>
    <row r="356" spans="1:14" hidden="1">
      <c r="E356" s="255" t="s">
        <v>226</v>
      </c>
      <c r="L356" s="264">
        <v>687787.00245537201</v>
      </c>
      <c r="M356" s="264">
        <v>687787.00245537201</v>
      </c>
      <c r="N356" s="264">
        <v>687787.00245537201</v>
      </c>
    </row>
    <row r="357" spans="1:14" hidden="1">
      <c r="E357" s="255" t="s">
        <v>209</v>
      </c>
      <c r="L357" s="264">
        <v>2124.0002654456166</v>
      </c>
      <c r="M357" s="264">
        <v>2124.0002654456166</v>
      </c>
      <c r="N357" s="264">
        <v>2124.0002654456166</v>
      </c>
    </row>
    <row r="358" spans="1:14" hidden="1">
      <c r="E358" s="255" t="s">
        <v>367</v>
      </c>
      <c r="L358" s="264">
        <v>323615.99973455438</v>
      </c>
      <c r="M358" s="264">
        <v>323615.99973455438</v>
      </c>
      <c r="N358" s="264">
        <v>323615.99973455438</v>
      </c>
    </row>
    <row r="359" spans="1:14" hidden="1">
      <c r="C359" s="249">
        <v>52</v>
      </c>
      <c r="D359" s="249" t="s">
        <v>69</v>
      </c>
      <c r="E359" s="255" t="s">
        <v>84</v>
      </c>
      <c r="L359" s="264">
        <v>44219.001924480726</v>
      </c>
      <c r="M359" s="264">
        <v>44988.001725396512</v>
      </c>
      <c r="N359" s="264">
        <v>5283.0035171544232</v>
      </c>
    </row>
    <row r="360" spans="1:14" hidden="1">
      <c r="E360" s="255" t="s">
        <v>226</v>
      </c>
      <c r="L360" s="264">
        <v>94248.003185347407</v>
      </c>
      <c r="M360" s="264">
        <v>31187.005109828129</v>
      </c>
      <c r="N360" s="264">
        <v>11383.000929059659</v>
      </c>
    </row>
    <row r="361" spans="1:14" hidden="1">
      <c r="E361" s="255" t="s">
        <v>209</v>
      </c>
      <c r="L361" s="264">
        <v>2388.9999336385954</v>
      </c>
      <c r="M361" s="264">
        <v>0</v>
      </c>
      <c r="N361" s="264">
        <v>0</v>
      </c>
    </row>
    <row r="362" spans="1:14" hidden="1">
      <c r="E362" s="255" t="s">
        <v>367</v>
      </c>
      <c r="L362" s="264">
        <v>2656.0010617824669</v>
      </c>
      <c r="M362" s="264">
        <v>0</v>
      </c>
      <c r="N362" s="264">
        <v>0</v>
      </c>
    </row>
    <row r="363" spans="1:14" hidden="1">
      <c r="C363" s="249">
        <v>61</v>
      </c>
      <c r="D363" s="249" t="s">
        <v>276</v>
      </c>
      <c r="E363" s="255" t="s">
        <v>84</v>
      </c>
      <c r="L363" s="264">
        <v>38655.001659035108</v>
      </c>
      <c r="M363" s="264">
        <v>0</v>
      </c>
      <c r="N363" s="264">
        <v>0</v>
      </c>
    </row>
    <row r="364" spans="1:14" hidden="1">
      <c r="E364" s="255" t="s">
        <v>226</v>
      </c>
      <c r="L364" s="264">
        <v>14624.002919901784</v>
      </c>
      <c r="M364" s="264">
        <v>16000.002654456168</v>
      </c>
      <c r="N364" s="264">
        <v>16000.002654456168</v>
      </c>
    </row>
    <row r="365" spans="1:14" hidden="1">
      <c r="C365" s="249">
        <v>71</v>
      </c>
      <c r="D365" s="249" t="s">
        <v>387</v>
      </c>
      <c r="E365" s="255" t="s">
        <v>367</v>
      </c>
      <c r="L365" s="264">
        <v>1327</v>
      </c>
      <c r="M365" s="264">
        <v>1327</v>
      </c>
      <c r="N365" s="264">
        <v>1327</v>
      </c>
    </row>
    <row r="366" spans="1:14" ht="45" hidden="1">
      <c r="A366" s="249" t="s">
        <v>393</v>
      </c>
      <c r="B366" s="252" t="s">
        <v>394</v>
      </c>
      <c r="C366" s="249">
        <v>5762</v>
      </c>
      <c r="D366" s="249" t="s">
        <v>377</v>
      </c>
      <c r="E366" s="255" t="s">
        <v>367</v>
      </c>
      <c r="L366" s="264">
        <v>13003.880521356921</v>
      </c>
      <c r="M366" s="264"/>
      <c r="N366" s="264"/>
    </row>
    <row r="367" spans="1:14" ht="30" hidden="1">
      <c r="A367" s="249" t="s">
        <v>363</v>
      </c>
      <c r="B367" s="252" t="s">
        <v>364</v>
      </c>
      <c r="C367" s="249">
        <v>11</v>
      </c>
      <c r="D367" s="249" t="s">
        <v>100</v>
      </c>
      <c r="E367" s="255" t="s">
        <v>84</v>
      </c>
      <c r="L367" s="264">
        <v>20154421.40385801</v>
      </c>
      <c r="M367" s="264">
        <v>20250148.853174698</v>
      </c>
      <c r="N367" s="264">
        <v>20346366.693395723</v>
      </c>
    </row>
    <row r="368" spans="1:14" hidden="1">
      <c r="E368" s="255" t="s">
        <v>226</v>
      </c>
      <c r="L368" s="264">
        <v>377214.90302097611</v>
      </c>
      <c r="M368" s="264">
        <v>379006.56053308537</v>
      </c>
      <c r="N368" s="264">
        <v>380807.39631698508</v>
      </c>
    </row>
    <row r="369" spans="1:14" ht="30" hidden="1">
      <c r="A369" s="249" t="s">
        <v>365</v>
      </c>
      <c r="B369" s="252" t="s">
        <v>366</v>
      </c>
      <c r="C369" s="249">
        <v>11</v>
      </c>
      <c r="D369" s="249" t="s">
        <v>100</v>
      </c>
      <c r="E369" s="255" t="s">
        <v>226</v>
      </c>
      <c r="L369" s="264">
        <v>1320299.5057158179</v>
      </c>
      <c r="M369" s="264">
        <v>1320299.5057158179</v>
      </c>
      <c r="N369" s="264">
        <v>1320299.5057158179</v>
      </c>
    </row>
    <row r="370" spans="1:14" ht="30" hidden="1">
      <c r="A370" s="249" t="s">
        <v>368</v>
      </c>
      <c r="B370" s="252" t="s">
        <v>369</v>
      </c>
      <c r="C370" s="249">
        <v>51</v>
      </c>
      <c r="D370" s="249" t="s">
        <v>109</v>
      </c>
      <c r="E370" s="255" t="s">
        <v>84</v>
      </c>
      <c r="L370" s="264">
        <v>115135</v>
      </c>
      <c r="M370" s="264">
        <v>47564</v>
      </c>
      <c r="N370" s="264">
        <v>26440</v>
      </c>
    </row>
    <row r="371" spans="1:14" hidden="1">
      <c r="E371" s="255" t="s">
        <v>226</v>
      </c>
      <c r="L371" s="264">
        <v>248497</v>
      </c>
      <c r="M371" s="264">
        <v>182949</v>
      </c>
      <c r="N371" s="264">
        <v>156295</v>
      </c>
    </row>
    <row r="372" spans="1:14" hidden="1">
      <c r="E372" s="255" t="s">
        <v>367</v>
      </c>
      <c r="L372" s="264">
        <v>133</v>
      </c>
      <c r="M372" s="264">
        <v>531</v>
      </c>
      <c r="N372" s="264">
        <v>0</v>
      </c>
    </row>
    <row r="373" spans="1:14" hidden="1">
      <c r="C373" s="249">
        <v>52</v>
      </c>
      <c r="D373" s="249" t="s">
        <v>69</v>
      </c>
      <c r="E373" s="255" t="s">
        <v>84</v>
      </c>
      <c r="L373" s="264">
        <v>16706</v>
      </c>
      <c r="M373" s="264"/>
      <c r="N373" s="264"/>
    </row>
    <row r="374" spans="1:14" hidden="1">
      <c r="E374" s="255" t="s">
        <v>226</v>
      </c>
      <c r="L374" s="264">
        <v>71354</v>
      </c>
      <c r="M374" s="264">
        <v>0</v>
      </c>
      <c r="N374" s="264">
        <v>0</v>
      </c>
    </row>
    <row r="375" spans="1:14" hidden="1">
      <c r="C375" s="249">
        <v>61</v>
      </c>
      <c r="D375" s="249" t="s">
        <v>276</v>
      </c>
      <c r="E375" s="255" t="s">
        <v>84</v>
      </c>
      <c r="L375" s="264">
        <v>35868</v>
      </c>
      <c r="M375" s="264">
        <v>0</v>
      </c>
      <c r="N375" s="264">
        <v>0</v>
      </c>
    </row>
    <row r="376" spans="1:14" hidden="1">
      <c r="E376" s="255" t="s">
        <v>226</v>
      </c>
      <c r="L376" s="264">
        <v>58428</v>
      </c>
      <c r="M376" s="264">
        <v>0</v>
      </c>
      <c r="N376" s="264">
        <v>0</v>
      </c>
    </row>
    <row r="377" spans="1:14" ht="30" hidden="1">
      <c r="A377" s="249" t="s">
        <v>370</v>
      </c>
      <c r="B377" s="252" t="s">
        <v>371</v>
      </c>
      <c r="C377" s="249">
        <v>31</v>
      </c>
      <c r="D377" s="249" t="s">
        <v>333</v>
      </c>
      <c r="E377" s="255" t="s">
        <v>84</v>
      </c>
      <c r="L377" s="264">
        <v>1035885</v>
      </c>
      <c r="M377" s="264">
        <v>1043136</v>
      </c>
      <c r="N377" s="264">
        <v>1050438</v>
      </c>
    </row>
    <row r="378" spans="1:14" hidden="1">
      <c r="E378" s="255" t="s">
        <v>226</v>
      </c>
      <c r="L378" s="264">
        <v>988929</v>
      </c>
      <c r="M378" s="264">
        <v>995853</v>
      </c>
      <c r="N378" s="264">
        <v>1002825</v>
      </c>
    </row>
    <row r="379" spans="1:14" hidden="1">
      <c r="E379" s="255" t="s">
        <v>192</v>
      </c>
      <c r="L379" s="264">
        <v>1275</v>
      </c>
      <c r="M379" s="264">
        <v>1284</v>
      </c>
      <c r="N379" s="264">
        <v>1293</v>
      </c>
    </row>
    <row r="380" spans="1:14" hidden="1">
      <c r="E380" s="255" t="s">
        <v>209</v>
      </c>
      <c r="L380" s="264">
        <v>877</v>
      </c>
      <c r="M380" s="264">
        <v>883</v>
      </c>
      <c r="N380" s="264">
        <v>889</v>
      </c>
    </row>
    <row r="381" spans="1:14" hidden="1">
      <c r="E381" s="255" t="s">
        <v>367</v>
      </c>
      <c r="L381" s="264">
        <v>282703</v>
      </c>
      <c r="M381" s="264">
        <v>284682</v>
      </c>
      <c r="N381" s="264">
        <v>286675</v>
      </c>
    </row>
    <row r="382" spans="1:14" hidden="1">
      <c r="C382" s="249">
        <v>43</v>
      </c>
      <c r="D382" s="249" t="s">
        <v>104</v>
      </c>
      <c r="E382" s="255" t="s">
        <v>84</v>
      </c>
      <c r="L382" s="264">
        <v>2267784</v>
      </c>
      <c r="M382" s="264">
        <v>1940358</v>
      </c>
      <c r="N382" s="264">
        <v>1940358</v>
      </c>
    </row>
    <row r="383" spans="1:14" hidden="1">
      <c r="E383" s="255" t="s">
        <v>226</v>
      </c>
      <c r="L383" s="264">
        <v>1370704</v>
      </c>
      <c r="M383" s="264">
        <v>1295299</v>
      </c>
      <c r="N383" s="264">
        <v>1295299</v>
      </c>
    </row>
    <row r="384" spans="1:14" hidden="1">
      <c r="E384" s="255" t="s">
        <v>192</v>
      </c>
      <c r="L384" s="264">
        <v>6452</v>
      </c>
      <c r="M384" s="264">
        <v>6497</v>
      </c>
      <c r="N384" s="264">
        <v>6497</v>
      </c>
    </row>
    <row r="385" spans="1:14" hidden="1">
      <c r="E385" s="255" t="s">
        <v>209</v>
      </c>
      <c r="L385" s="264">
        <v>1135</v>
      </c>
      <c r="M385" s="264">
        <v>1143</v>
      </c>
      <c r="N385" s="264">
        <v>1143</v>
      </c>
    </row>
    <row r="386" spans="1:14" hidden="1">
      <c r="E386" s="255" t="s">
        <v>283</v>
      </c>
      <c r="L386" s="264">
        <v>34577</v>
      </c>
      <c r="M386" s="264">
        <v>34819</v>
      </c>
      <c r="N386" s="264">
        <v>34819</v>
      </c>
    </row>
    <row r="387" spans="1:14" hidden="1">
      <c r="E387" s="255" t="s">
        <v>367</v>
      </c>
      <c r="L387" s="264">
        <v>282169</v>
      </c>
      <c r="M387" s="264">
        <v>261256</v>
      </c>
      <c r="N387" s="264">
        <v>261256</v>
      </c>
    </row>
    <row r="388" spans="1:14" hidden="1">
      <c r="C388" s="249">
        <v>52</v>
      </c>
      <c r="D388" s="249" t="s">
        <v>69</v>
      </c>
      <c r="E388" s="255" t="s">
        <v>84</v>
      </c>
      <c r="L388" s="264">
        <v>528429</v>
      </c>
      <c r="M388" s="264">
        <v>343438</v>
      </c>
      <c r="N388" s="264">
        <v>180352</v>
      </c>
    </row>
    <row r="389" spans="1:14" hidden="1">
      <c r="E389" s="255" t="s">
        <v>226</v>
      </c>
      <c r="L389" s="264">
        <v>443596</v>
      </c>
      <c r="M389" s="264">
        <v>182409</v>
      </c>
      <c r="N389" s="264">
        <v>84421</v>
      </c>
    </row>
    <row r="390" spans="1:14" hidden="1">
      <c r="E390" s="255" t="s">
        <v>209</v>
      </c>
      <c r="L390" s="264">
        <v>10113</v>
      </c>
      <c r="M390" s="264">
        <v>4068</v>
      </c>
      <c r="N390" s="264">
        <v>1867</v>
      </c>
    </row>
    <row r="391" spans="1:14" hidden="1">
      <c r="E391" s="255" t="s">
        <v>367</v>
      </c>
      <c r="L391" s="264">
        <v>36291</v>
      </c>
      <c r="M391" s="264">
        <v>14600</v>
      </c>
      <c r="N391" s="264">
        <v>6701</v>
      </c>
    </row>
    <row r="392" spans="1:14" hidden="1">
      <c r="C392" s="249">
        <v>61</v>
      </c>
      <c r="D392" s="249" t="s">
        <v>276</v>
      </c>
      <c r="E392" s="255" t="s">
        <v>226</v>
      </c>
      <c r="L392" s="264">
        <v>137842</v>
      </c>
      <c r="M392" s="264">
        <v>139221</v>
      </c>
      <c r="N392" s="264">
        <v>140612</v>
      </c>
    </row>
    <row r="393" spans="1:14" hidden="1">
      <c r="E393" s="255" t="s">
        <v>192</v>
      </c>
      <c r="L393" s="264">
        <v>48</v>
      </c>
      <c r="M393" s="264">
        <v>48</v>
      </c>
      <c r="N393" s="264">
        <v>49</v>
      </c>
    </row>
    <row r="394" spans="1:14" hidden="1">
      <c r="E394" s="255" t="s">
        <v>367</v>
      </c>
      <c r="L394" s="264">
        <v>21220</v>
      </c>
      <c r="M394" s="264">
        <v>21432</v>
      </c>
      <c r="N394" s="264">
        <v>21647</v>
      </c>
    </row>
    <row r="395" spans="1:14" ht="30" hidden="1">
      <c r="A395" s="249" t="s">
        <v>372</v>
      </c>
      <c r="B395" s="252" t="s">
        <v>373</v>
      </c>
      <c r="C395" s="249">
        <v>563</v>
      </c>
      <c r="D395" s="249" t="s">
        <v>374</v>
      </c>
      <c r="E395" s="255" t="s">
        <v>84</v>
      </c>
      <c r="L395" s="264">
        <v>64037</v>
      </c>
      <c r="M395" s="264">
        <v>0</v>
      </c>
      <c r="N395" s="264">
        <v>0</v>
      </c>
    </row>
    <row r="396" spans="1:14" hidden="1">
      <c r="E396" s="255" t="s">
        <v>226</v>
      </c>
      <c r="L396" s="264">
        <v>63707</v>
      </c>
      <c r="M396" s="264">
        <v>0</v>
      </c>
      <c r="N396" s="264">
        <v>0</v>
      </c>
    </row>
    <row r="397" spans="1:14" hidden="1">
      <c r="E397" s="255" t="s">
        <v>367</v>
      </c>
      <c r="L397" s="264">
        <v>744906</v>
      </c>
      <c r="M397" s="264">
        <v>0</v>
      </c>
      <c r="N397" s="264">
        <v>0</v>
      </c>
    </row>
    <row r="398" spans="1:14" ht="45" hidden="1">
      <c r="A398" s="249" t="s">
        <v>375</v>
      </c>
      <c r="B398" s="252" t="s">
        <v>376</v>
      </c>
      <c r="C398" s="249">
        <v>5761</v>
      </c>
      <c r="D398" s="249" t="s">
        <v>377</v>
      </c>
      <c r="E398" s="255" t="s">
        <v>367</v>
      </c>
      <c r="L398" s="264">
        <v>6648273.875783965</v>
      </c>
      <c r="M398" s="264"/>
      <c r="N398" s="264"/>
    </row>
    <row r="399" spans="1:14" hidden="1">
      <c r="E399" s="255" t="s">
        <v>322</v>
      </c>
      <c r="L399" s="264">
        <v>277011.62765901105</v>
      </c>
      <c r="M399" s="264"/>
      <c r="N399" s="264"/>
    </row>
    <row r="400" spans="1:14" ht="45" hidden="1">
      <c r="A400" s="249" t="s">
        <v>378</v>
      </c>
      <c r="B400" s="252" t="s">
        <v>379</v>
      </c>
      <c r="C400" s="249">
        <v>581</v>
      </c>
      <c r="D400" s="249" t="s">
        <v>380</v>
      </c>
      <c r="E400" s="255" t="s">
        <v>367</v>
      </c>
      <c r="L400" s="264">
        <v>12905756.665036302</v>
      </c>
      <c r="M400" s="264"/>
      <c r="N400" s="264"/>
    </row>
    <row r="401" spans="1:14" ht="30" hidden="1">
      <c r="A401" s="249" t="s">
        <v>363</v>
      </c>
      <c r="B401" s="252" t="s">
        <v>364</v>
      </c>
      <c r="C401" s="249">
        <v>11</v>
      </c>
      <c r="D401" s="249" t="s">
        <v>100</v>
      </c>
      <c r="E401" s="255" t="s">
        <v>84</v>
      </c>
      <c r="L401" s="264">
        <v>6032589.6095126607</v>
      </c>
      <c r="M401" s="264">
        <v>6061242.5985775059</v>
      </c>
      <c r="N401" s="264">
        <v>6090042.3706739629</v>
      </c>
    </row>
    <row r="402" spans="1:14" hidden="1">
      <c r="E402" s="255" t="s">
        <v>226</v>
      </c>
      <c r="L402" s="264">
        <v>168310.39395901491</v>
      </c>
      <c r="M402" s="264">
        <v>169109.81778688519</v>
      </c>
      <c r="N402" s="264">
        <v>169913.33688916941</v>
      </c>
    </row>
    <row r="403" spans="1:14" hidden="1">
      <c r="A403" s="249" t="s">
        <v>383</v>
      </c>
      <c r="B403" s="252" t="s">
        <v>384</v>
      </c>
      <c r="C403" s="249">
        <v>11</v>
      </c>
      <c r="D403" s="249" t="s">
        <v>100</v>
      </c>
      <c r="E403" s="255" t="s">
        <v>84</v>
      </c>
      <c r="L403" s="264">
        <v>17988.1091844</v>
      </c>
      <c r="M403" s="264">
        <v>17988.1091844</v>
      </c>
      <c r="N403" s="264">
        <v>17988.1091844</v>
      </c>
    </row>
    <row r="404" spans="1:14" hidden="1">
      <c r="E404" s="255" t="s">
        <v>226</v>
      </c>
      <c r="L404" s="264">
        <v>8271.2919359999996</v>
      </c>
      <c r="M404" s="264">
        <v>8271.2919359999996</v>
      </c>
      <c r="N404" s="264">
        <v>8271.2919359999996</v>
      </c>
    </row>
    <row r="405" spans="1:14" hidden="1">
      <c r="E405" s="255" t="s">
        <v>192</v>
      </c>
      <c r="L405" s="264">
        <v>6821.2148120000002</v>
      </c>
      <c r="M405" s="264">
        <v>6821.2148120000002</v>
      </c>
      <c r="N405" s="264">
        <v>6821.2148120000002</v>
      </c>
    </row>
    <row r="406" spans="1:14" ht="30" hidden="1">
      <c r="A406" s="249" t="s">
        <v>365</v>
      </c>
      <c r="B406" s="252" t="s">
        <v>366</v>
      </c>
      <c r="C406" s="249">
        <v>11</v>
      </c>
      <c r="D406" s="249" t="s">
        <v>100</v>
      </c>
      <c r="E406" s="255" t="s">
        <v>226</v>
      </c>
      <c r="L406" s="264">
        <v>366994.8769139431</v>
      </c>
      <c r="M406" s="264">
        <v>366994.8769139431</v>
      </c>
      <c r="N406" s="264">
        <v>366994.8769139431</v>
      </c>
    </row>
    <row r="407" spans="1:14" hidden="1">
      <c r="E407" s="255" t="s">
        <v>192</v>
      </c>
      <c r="L407" s="264">
        <v>2948.9767829244092</v>
      </c>
      <c r="M407" s="264">
        <v>2948.9767829244092</v>
      </c>
      <c r="N407" s="264">
        <v>2948.9767829244092</v>
      </c>
    </row>
    <row r="408" spans="1:14" hidden="1">
      <c r="E408" s="255" t="s">
        <v>283</v>
      </c>
      <c r="L408" s="264">
        <v>646.43024104977951</v>
      </c>
      <c r="M408" s="264">
        <v>646.43024104977951</v>
      </c>
      <c r="N408" s="264">
        <v>646.43024104977951</v>
      </c>
    </row>
    <row r="409" spans="1:14" hidden="1">
      <c r="E409" s="255" t="s">
        <v>367</v>
      </c>
      <c r="L409" s="264">
        <v>23383.767749034425</v>
      </c>
      <c r="M409" s="264">
        <v>23383.767749034425</v>
      </c>
      <c r="N409" s="264">
        <v>23383.767749034425</v>
      </c>
    </row>
    <row r="410" spans="1:14" ht="30" hidden="1">
      <c r="A410" s="249" t="s">
        <v>370</v>
      </c>
      <c r="B410" s="252" t="s">
        <v>371</v>
      </c>
      <c r="C410" s="249">
        <v>31</v>
      </c>
      <c r="D410" s="249" t="s">
        <v>333</v>
      </c>
      <c r="E410" s="255" t="s">
        <v>84</v>
      </c>
      <c r="L410" s="264">
        <v>644701</v>
      </c>
      <c r="M410" s="264">
        <v>669453</v>
      </c>
      <c r="N410" s="264">
        <v>691549</v>
      </c>
    </row>
    <row r="411" spans="1:14" hidden="1">
      <c r="E411" s="255" t="s">
        <v>226</v>
      </c>
      <c r="L411" s="264">
        <v>1641846</v>
      </c>
      <c r="M411" s="264">
        <v>1767738</v>
      </c>
      <c r="N411" s="264">
        <v>1875040</v>
      </c>
    </row>
    <row r="412" spans="1:14" hidden="1">
      <c r="E412" s="255" t="s">
        <v>192</v>
      </c>
      <c r="L412" s="264">
        <v>3318</v>
      </c>
      <c r="M412" s="264">
        <v>3982</v>
      </c>
      <c r="N412" s="264">
        <v>4645</v>
      </c>
    </row>
    <row r="413" spans="1:14" hidden="1">
      <c r="E413" s="255" t="s">
        <v>209</v>
      </c>
      <c r="L413" s="264">
        <v>2654</v>
      </c>
      <c r="M413" s="264">
        <v>2787</v>
      </c>
      <c r="N413" s="264">
        <v>2919</v>
      </c>
    </row>
    <row r="414" spans="1:14" hidden="1">
      <c r="E414" s="255" t="s">
        <v>215</v>
      </c>
      <c r="L414" s="264">
        <v>22562</v>
      </c>
      <c r="M414" s="264">
        <v>22618</v>
      </c>
      <c r="N414" s="264">
        <v>27872</v>
      </c>
    </row>
    <row r="415" spans="1:14" hidden="1">
      <c r="E415" s="255" t="s">
        <v>283</v>
      </c>
      <c r="L415" s="264">
        <v>14599</v>
      </c>
      <c r="M415" s="264">
        <v>16590</v>
      </c>
      <c r="N415" s="264">
        <v>18581</v>
      </c>
    </row>
    <row r="416" spans="1:14" hidden="1">
      <c r="E416" s="255" t="s">
        <v>367</v>
      </c>
      <c r="L416" s="264">
        <v>1152696</v>
      </c>
      <c r="M416" s="264">
        <v>1155353</v>
      </c>
      <c r="N416" s="264">
        <v>1029593</v>
      </c>
    </row>
    <row r="417" spans="3:14" hidden="1">
      <c r="E417" s="255" t="s">
        <v>322</v>
      </c>
      <c r="L417" s="264">
        <v>663614</v>
      </c>
      <c r="M417" s="264">
        <v>338717</v>
      </c>
      <c r="N417" s="264">
        <v>318535</v>
      </c>
    </row>
    <row r="418" spans="3:14" hidden="1">
      <c r="E418" s="255" t="s">
        <v>262</v>
      </c>
      <c r="L418" s="264">
        <v>6636</v>
      </c>
      <c r="M418" s="264">
        <v>6361</v>
      </c>
      <c r="N418" s="264">
        <v>6636</v>
      </c>
    </row>
    <row r="419" spans="3:14" hidden="1">
      <c r="C419" s="249">
        <v>43</v>
      </c>
      <c r="D419" s="249" t="s">
        <v>104</v>
      </c>
      <c r="E419" s="255" t="s">
        <v>84</v>
      </c>
      <c r="L419" s="264">
        <v>79235</v>
      </c>
      <c r="M419" s="264">
        <v>0</v>
      </c>
      <c r="N419" s="264">
        <v>0</v>
      </c>
    </row>
    <row r="420" spans="3:14" hidden="1">
      <c r="E420" s="255" t="s">
        <v>226</v>
      </c>
      <c r="L420" s="264">
        <v>291328</v>
      </c>
      <c r="M420" s="264">
        <v>190458</v>
      </c>
      <c r="N420" s="264">
        <v>190458</v>
      </c>
    </row>
    <row r="421" spans="3:14" hidden="1">
      <c r="E421" s="255" t="s">
        <v>192</v>
      </c>
      <c r="L421" s="264">
        <v>265</v>
      </c>
      <c r="M421" s="264">
        <v>265</v>
      </c>
      <c r="N421" s="264">
        <v>265</v>
      </c>
    </row>
    <row r="422" spans="3:14" hidden="1">
      <c r="E422" s="255" t="s">
        <v>283</v>
      </c>
      <c r="L422" s="264">
        <v>5309</v>
      </c>
      <c r="M422" s="264">
        <v>3982</v>
      </c>
      <c r="N422" s="264">
        <v>3982</v>
      </c>
    </row>
    <row r="423" spans="3:14" hidden="1">
      <c r="E423" s="255" t="s">
        <v>367</v>
      </c>
      <c r="L423" s="264">
        <v>82287</v>
      </c>
      <c r="M423" s="264">
        <v>19908</v>
      </c>
      <c r="N423" s="264">
        <v>19908</v>
      </c>
    </row>
    <row r="424" spans="3:14" hidden="1">
      <c r="E424" s="255" t="s">
        <v>322</v>
      </c>
      <c r="L424" s="264">
        <v>66362</v>
      </c>
      <c r="M424" s="264">
        <v>13272</v>
      </c>
      <c r="N424" s="264">
        <v>13272</v>
      </c>
    </row>
    <row r="425" spans="3:14" hidden="1">
      <c r="C425" s="249">
        <v>52</v>
      </c>
      <c r="D425" s="249" t="s">
        <v>69</v>
      </c>
      <c r="E425" s="255" t="s">
        <v>84</v>
      </c>
      <c r="L425" s="264">
        <v>140855</v>
      </c>
      <c r="M425" s="264">
        <v>130117</v>
      </c>
      <c r="N425" s="264">
        <v>89770</v>
      </c>
    </row>
    <row r="426" spans="3:14" hidden="1">
      <c r="E426" s="255" t="s">
        <v>226</v>
      </c>
      <c r="L426" s="264">
        <v>442499</v>
      </c>
      <c r="M426" s="264">
        <v>410801</v>
      </c>
      <c r="N426" s="264">
        <v>340819</v>
      </c>
    </row>
    <row r="427" spans="3:14" hidden="1">
      <c r="E427" s="255" t="s">
        <v>204</v>
      </c>
      <c r="L427" s="264">
        <v>32457</v>
      </c>
      <c r="M427" s="264">
        <v>8036</v>
      </c>
      <c r="N427" s="264">
        <v>0</v>
      </c>
    </row>
    <row r="428" spans="3:14" hidden="1">
      <c r="E428" s="255" t="s">
        <v>283</v>
      </c>
      <c r="L428" s="264">
        <v>2356</v>
      </c>
      <c r="M428" s="264">
        <v>2356</v>
      </c>
      <c r="N428" s="264">
        <v>2356</v>
      </c>
    </row>
    <row r="429" spans="3:14" hidden="1">
      <c r="E429" s="255" t="s">
        <v>367</v>
      </c>
      <c r="L429" s="264">
        <v>37257</v>
      </c>
      <c r="M429" s="264">
        <v>45486</v>
      </c>
      <c r="N429" s="264">
        <v>14200</v>
      </c>
    </row>
    <row r="430" spans="3:14" hidden="1">
      <c r="E430" s="255" t="s">
        <v>322</v>
      </c>
      <c r="L430" s="264">
        <v>40000</v>
      </c>
      <c r="M430" s="264">
        <v>40000</v>
      </c>
      <c r="N430" s="264">
        <v>40000</v>
      </c>
    </row>
    <row r="431" spans="3:14" hidden="1">
      <c r="C431" s="249">
        <v>61</v>
      </c>
      <c r="D431" s="249" t="s">
        <v>276</v>
      </c>
      <c r="E431" s="255" t="s">
        <v>84</v>
      </c>
      <c r="L431" s="264">
        <v>229633</v>
      </c>
      <c r="M431" s="264">
        <v>12650</v>
      </c>
      <c r="N431" s="264">
        <v>13233</v>
      </c>
    </row>
    <row r="432" spans="3:14" hidden="1">
      <c r="E432" s="255" t="s">
        <v>226</v>
      </c>
      <c r="L432" s="264">
        <v>503721</v>
      </c>
      <c r="M432" s="264">
        <v>292294</v>
      </c>
      <c r="N432" s="264">
        <v>280768</v>
      </c>
    </row>
    <row r="433" spans="1:14" hidden="1">
      <c r="E433" s="255" t="s">
        <v>367</v>
      </c>
      <c r="L433" s="264">
        <v>301327</v>
      </c>
      <c r="M433" s="264">
        <v>0</v>
      </c>
      <c r="N433" s="264">
        <v>0</v>
      </c>
    </row>
    <row r="434" spans="1:14" hidden="1">
      <c r="E434" s="255" t="s">
        <v>322</v>
      </c>
      <c r="L434" s="264">
        <v>267</v>
      </c>
      <c r="M434" s="264">
        <v>0</v>
      </c>
      <c r="N434" s="264">
        <v>0</v>
      </c>
    </row>
    <row r="435" spans="1:14" hidden="1">
      <c r="C435" s="249">
        <v>71</v>
      </c>
      <c r="D435" s="249" t="s">
        <v>387</v>
      </c>
      <c r="E435" s="255" t="s">
        <v>367</v>
      </c>
      <c r="L435" s="264">
        <v>19908</v>
      </c>
      <c r="M435" s="264">
        <v>6636</v>
      </c>
      <c r="N435" s="264">
        <v>6636</v>
      </c>
    </row>
    <row r="436" spans="1:14" ht="30" hidden="1">
      <c r="A436" s="249" t="s">
        <v>388</v>
      </c>
      <c r="B436" s="252" t="s">
        <v>389</v>
      </c>
      <c r="C436" s="249">
        <v>12</v>
      </c>
      <c r="D436" s="249" t="s">
        <v>102</v>
      </c>
      <c r="E436" s="255" t="s">
        <v>84</v>
      </c>
      <c r="L436" s="264">
        <v>1229.6469566563337</v>
      </c>
      <c r="M436" s="264"/>
      <c r="N436" s="264"/>
    </row>
    <row r="437" spans="1:14" hidden="1">
      <c r="E437" s="255" t="s">
        <v>226</v>
      </c>
      <c r="L437" s="264">
        <v>12275.745179653401</v>
      </c>
      <c r="M437" s="264">
        <v>0</v>
      </c>
      <c r="N437" s="264">
        <v>0</v>
      </c>
    </row>
    <row r="438" spans="1:14" hidden="1">
      <c r="E438" s="255" t="s">
        <v>367</v>
      </c>
      <c r="L438" s="264">
        <v>1229.6469566563335</v>
      </c>
      <c r="M438" s="264">
        <v>0</v>
      </c>
      <c r="N438" s="264">
        <v>0</v>
      </c>
    </row>
    <row r="439" spans="1:14" hidden="1">
      <c r="C439" s="249">
        <v>561</v>
      </c>
      <c r="D439" s="249" t="s">
        <v>390</v>
      </c>
      <c r="E439" s="255" t="s">
        <v>84</v>
      </c>
      <c r="L439" s="264">
        <v>7100.3963024032391</v>
      </c>
      <c r="M439" s="264">
        <v>0</v>
      </c>
      <c r="N439" s="264">
        <v>0</v>
      </c>
    </row>
    <row r="440" spans="1:14" hidden="1">
      <c r="E440" s="255" t="s">
        <v>226</v>
      </c>
      <c r="L440" s="264">
        <v>72535.72463368006</v>
      </c>
      <c r="M440" s="264">
        <v>0</v>
      </c>
      <c r="N440" s="264">
        <v>0</v>
      </c>
    </row>
    <row r="441" spans="1:14" hidden="1">
      <c r="E441" s="255" t="s">
        <v>367</v>
      </c>
      <c r="L441" s="264">
        <v>3862.433924057701</v>
      </c>
      <c r="M441" s="264">
        <v>0</v>
      </c>
      <c r="N441" s="264">
        <v>0</v>
      </c>
    </row>
    <row r="442" spans="1:14" ht="45" hidden="1">
      <c r="A442" s="249" t="s">
        <v>375</v>
      </c>
      <c r="B442" s="252" t="s">
        <v>376</v>
      </c>
      <c r="C442" s="249">
        <v>5761</v>
      </c>
      <c r="D442" s="249" t="s">
        <v>377</v>
      </c>
      <c r="E442" s="255" t="s">
        <v>226</v>
      </c>
      <c r="L442" s="264">
        <v>115534.42752169032</v>
      </c>
      <c r="M442" s="264">
        <v>0</v>
      </c>
      <c r="N442" s="264">
        <v>0</v>
      </c>
    </row>
    <row r="443" spans="1:14" hidden="1">
      <c r="E443" s="255" t="s">
        <v>322</v>
      </c>
      <c r="L443" s="264">
        <v>1639596.4307469835</v>
      </c>
      <c r="M443" s="264">
        <v>0</v>
      </c>
      <c r="N443" s="264">
        <v>0</v>
      </c>
    </row>
    <row r="444" spans="1:14" ht="45" hidden="1">
      <c r="A444" s="249" t="s">
        <v>378</v>
      </c>
      <c r="B444" s="252" t="s">
        <v>379</v>
      </c>
      <c r="C444" s="249">
        <v>581</v>
      </c>
      <c r="D444" s="249" t="s">
        <v>380</v>
      </c>
      <c r="E444" s="255" t="s">
        <v>226</v>
      </c>
      <c r="L444" s="264">
        <v>93168.903762210291</v>
      </c>
      <c r="M444" s="264">
        <v>0</v>
      </c>
      <c r="N444" s="264">
        <v>0</v>
      </c>
    </row>
    <row r="445" spans="1:14" hidden="1">
      <c r="E445" s="255" t="s">
        <v>322</v>
      </c>
      <c r="L445" s="264">
        <v>4946296.8175880387</v>
      </c>
      <c r="M445" s="264">
        <v>0</v>
      </c>
      <c r="N445" s="264">
        <v>0</v>
      </c>
    </row>
    <row r="446" spans="1:14" ht="45" hidden="1">
      <c r="A446" s="249" t="s">
        <v>393</v>
      </c>
      <c r="B446" s="252" t="s">
        <v>394</v>
      </c>
      <c r="C446" s="249">
        <v>5762</v>
      </c>
      <c r="D446" s="249" t="s">
        <v>377</v>
      </c>
      <c r="E446" s="255" t="s">
        <v>226</v>
      </c>
      <c r="L446" s="264">
        <v>331918.75333126762</v>
      </c>
      <c r="M446" s="264">
        <v>0</v>
      </c>
      <c r="N446" s="264">
        <v>0</v>
      </c>
    </row>
    <row r="447" spans="1:14" ht="30" hidden="1">
      <c r="A447" s="249" t="s">
        <v>363</v>
      </c>
      <c r="B447" s="252" t="s">
        <v>364</v>
      </c>
      <c r="C447" s="249">
        <v>11</v>
      </c>
      <c r="D447" s="249" t="s">
        <v>100</v>
      </c>
      <c r="E447" s="255" t="s">
        <v>84</v>
      </c>
      <c r="L447" s="264">
        <v>3481804.5036001047</v>
      </c>
      <c r="M447" s="264">
        <v>3498342.029409959</v>
      </c>
      <c r="N447" s="264">
        <v>3514964.2733680075</v>
      </c>
    </row>
    <row r="448" spans="1:14" hidden="1">
      <c r="E448" s="255" t="s">
        <v>226</v>
      </c>
      <c r="L448" s="264">
        <v>13822.374074901974</v>
      </c>
      <c r="M448" s="264">
        <v>13888.0262009133</v>
      </c>
      <c r="N448" s="264">
        <v>13954.014648488359</v>
      </c>
    </row>
    <row r="449" spans="1:14" hidden="1">
      <c r="A449" s="249" t="s">
        <v>383</v>
      </c>
      <c r="B449" s="252" t="s">
        <v>384</v>
      </c>
      <c r="C449" s="249">
        <v>11</v>
      </c>
      <c r="D449" s="249" t="s">
        <v>100</v>
      </c>
      <c r="E449" s="255" t="s">
        <v>84</v>
      </c>
      <c r="L449" s="264">
        <v>55312.964304400004</v>
      </c>
      <c r="M449" s="264">
        <v>55312.964304400004</v>
      </c>
      <c r="N449" s="264">
        <v>55312.964304400004</v>
      </c>
    </row>
    <row r="450" spans="1:14" hidden="1">
      <c r="E450" s="255" t="s">
        <v>192</v>
      </c>
      <c r="L450" s="264">
        <v>24337.236107599998</v>
      </c>
      <c r="M450" s="264">
        <v>24337.236107599998</v>
      </c>
      <c r="N450" s="264">
        <v>24337.236107599998</v>
      </c>
    </row>
    <row r="451" spans="1:14" ht="30" hidden="1">
      <c r="A451" s="249" t="s">
        <v>365</v>
      </c>
      <c r="B451" s="252" t="s">
        <v>366</v>
      </c>
      <c r="C451" s="249">
        <v>11</v>
      </c>
      <c r="D451" s="249" t="s">
        <v>100</v>
      </c>
      <c r="E451" s="255" t="s">
        <v>226</v>
      </c>
      <c r="L451" s="264">
        <v>399377.4819904904</v>
      </c>
      <c r="M451" s="264">
        <v>399377.4819904904</v>
      </c>
      <c r="N451" s="264">
        <v>399377.4819904904</v>
      </c>
    </row>
    <row r="452" spans="1:14" hidden="1">
      <c r="E452" s="255" t="s">
        <v>192</v>
      </c>
      <c r="L452" s="264">
        <v>2063.9535154846089</v>
      </c>
      <c r="M452" s="264">
        <v>2063.9535154846089</v>
      </c>
      <c r="N452" s="264">
        <v>2063.9535154846089</v>
      </c>
    </row>
    <row r="453" spans="1:14" hidden="1">
      <c r="E453" s="255" t="s">
        <v>209</v>
      </c>
      <c r="L453" s="264">
        <v>20639.535154846089</v>
      </c>
      <c r="M453" s="264">
        <v>20639.535154846089</v>
      </c>
      <c r="N453" s="264">
        <v>20639.535154846089</v>
      </c>
    </row>
    <row r="454" spans="1:14" hidden="1">
      <c r="E454" s="255" t="s">
        <v>283</v>
      </c>
      <c r="L454" s="264">
        <v>1238.3721092907654</v>
      </c>
      <c r="M454" s="264">
        <v>1238.3721092907654</v>
      </c>
      <c r="N454" s="264">
        <v>1238.3721092907654</v>
      </c>
    </row>
    <row r="455" spans="1:14" hidden="1">
      <c r="E455" s="255" t="s">
        <v>367</v>
      </c>
      <c r="L455" s="264">
        <v>8668.6047650353576</v>
      </c>
      <c r="M455" s="264">
        <v>8668.6047650353576</v>
      </c>
      <c r="N455" s="264">
        <v>8668.6047650353576</v>
      </c>
    </row>
    <row r="456" spans="1:14" ht="30" hidden="1">
      <c r="A456" s="249" t="s">
        <v>368</v>
      </c>
      <c r="B456" s="252" t="s">
        <v>369</v>
      </c>
      <c r="C456" s="249">
        <v>51</v>
      </c>
      <c r="D456" s="249" t="s">
        <v>109</v>
      </c>
      <c r="E456" s="255" t="s">
        <v>84</v>
      </c>
      <c r="L456" s="264">
        <v>132900</v>
      </c>
      <c r="M456" s="264">
        <v>67000</v>
      </c>
      <c r="N456" s="264">
        <v>5464</v>
      </c>
    </row>
    <row r="457" spans="1:14" hidden="1">
      <c r="E457" s="255" t="s">
        <v>226</v>
      </c>
      <c r="L457" s="264">
        <v>84186</v>
      </c>
      <c r="M457" s="264">
        <v>21462</v>
      </c>
      <c r="N457" s="264">
        <v>7787</v>
      </c>
    </row>
    <row r="458" spans="1:14" ht="30" hidden="1">
      <c r="A458" s="249" t="s">
        <v>370</v>
      </c>
      <c r="B458" s="252" t="s">
        <v>371</v>
      </c>
      <c r="C458" s="249">
        <v>31</v>
      </c>
      <c r="D458" s="249" t="s">
        <v>333</v>
      </c>
      <c r="E458" s="255" t="s">
        <v>84</v>
      </c>
      <c r="L458" s="264">
        <v>134064</v>
      </c>
      <c r="M458" s="264">
        <v>134064</v>
      </c>
      <c r="N458" s="264">
        <v>134064</v>
      </c>
    </row>
    <row r="459" spans="1:14" hidden="1">
      <c r="E459" s="255" t="s">
        <v>226</v>
      </c>
      <c r="L459" s="264">
        <v>47210</v>
      </c>
      <c r="M459" s="264">
        <v>20210</v>
      </c>
      <c r="N459" s="264">
        <v>47210</v>
      </c>
    </row>
    <row r="460" spans="1:14" hidden="1">
      <c r="E460" s="255" t="s">
        <v>209</v>
      </c>
      <c r="L460" s="264">
        <v>600</v>
      </c>
      <c r="M460" s="264">
        <v>600</v>
      </c>
      <c r="N460" s="264">
        <v>600</v>
      </c>
    </row>
    <row r="461" spans="1:14" hidden="1">
      <c r="C461" s="249">
        <v>43</v>
      </c>
      <c r="D461" s="249" t="s">
        <v>104</v>
      </c>
      <c r="E461" s="255" t="s">
        <v>84</v>
      </c>
      <c r="L461" s="264">
        <v>120585</v>
      </c>
      <c r="M461" s="264">
        <v>120585</v>
      </c>
      <c r="N461" s="264">
        <v>120585</v>
      </c>
    </row>
    <row r="462" spans="1:14" hidden="1">
      <c r="E462" s="255" t="s">
        <v>226</v>
      </c>
      <c r="L462" s="264">
        <v>142411</v>
      </c>
      <c r="M462" s="264">
        <v>139911</v>
      </c>
      <c r="N462" s="264">
        <v>139911</v>
      </c>
    </row>
    <row r="463" spans="1:14" hidden="1">
      <c r="E463" s="255" t="s">
        <v>192</v>
      </c>
      <c r="L463" s="264">
        <v>100</v>
      </c>
      <c r="M463" s="264">
        <v>100</v>
      </c>
      <c r="N463" s="264">
        <v>100</v>
      </c>
    </row>
    <row r="464" spans="1:14" hidden="1">
      <c r="E464" s="255" t="s">
        <v>283</v>
      </c>
      <c r="L464" s="264">
        <v>12145</v>
      </c>
      <c r="M464" s="264">
        <v>12145</v>
      </c>
      <c r="N464" s="264">
        <v>12145</v>
      </c>
    </row>
    <row r="465" spans="1:14" hidden="1">
      <c r="E465" s="255" t="s">
        <v>367</v>
      </c>
      <c r="L465" s="264">
        <v>28986</v>
      </c>
      <c r="M465" s="264">
        <v>28986</v>
      </c>
      <c r="N465" s="264">
        <v>28986</v>
      </c>
    </row>
    <row r="466" spans="1:14" hidden="1">
      <c r="C466" s="249">
        <v>52</v>
      </c>
      <c r="D466" s="249" t="s">
        <v>69</v>
      </c>
      <c r="E466" s="255" t="s">
        <v>84</v>
      </c>
      <c r="L466" s="264">
        <v>44903</v>
      </c>
      <c r="M466" s="264">
        <v>47332</v>
      </c>
      <c r="N466" s="264">
        <v>24846</v>
      </c>
    </row>
    <row r="467" spans="1:14" hidden="1">
      <c r="E467" s="255" t="s">
        <v>226</v>
      </c>
      <c r="L467" s="264">
        <v>43127</v>
      </c>
      <c r="M467" s="264">
        <v>38782</v>
      </c>
      <c r="N467" s="264">
        <v>500</v>
      </c>
    </row>
    <row r="468" spans="1:14" hidden="1">
      <c r="E468" s="255" t="s">
        <v>367</v>
      </c>
      <c r="L468" s="264">
        <v>1500</v>
      </c>
      <c r="M468" s="264">
        <v>1200</v>
      </c>
      <c r="N468" s="264">
        <v>0</v>
      </c>
    </row>
    <row r="469" spans="1:14" hidden="1">
      <c r="C469" s="249">
        <v>61</v>
      </c>
      <c r="D469" s="249" t="s">
        <v>276</v>
      </c>
      <c r="E469" s="255" t="s">
        <v>84</v>
      </c>
      <c r="L469" s="264">
        <v>26650</v>
      </c>
      <c r="M469" s="264">
        <v>0</v>
      </c>
      <c r="N469" s="264">
        <v>0</v>
      </c>
    </row>
    <row r="470" spans="1:14" hidden="1">
      <c r="E470" s="255" t="s">
        <v>226</v>
      </c>
      <c r="L470" s="264">
        <v>46360</v>
      </c>
      <c r="M470" s="264">
        <v>0</v>
      </c>
      <c r="N470" s="264">
        <v>0</v>
      </c>
    </row>
    <row r="471" spans="1:14" hidden="1">
      <c r="C471" s="249">
        <v>71</v>
      </c>
      <c r="D471" s="249" t="s">
        <v>387</v>
      </c>
      <c r="E471" s="255" t="s">
        <v>367</v>
      </c>
      <c r="L471" s="264">
        <v>612.17999999999995</v>
      </c>
      <c r="M471" s="264">
        <v>624.41999999999996</v>
      </c>
      <c r="N471" s="264">
        <v>636.91</v>
      </c>
    </row>
    <row r="472" spans="1:14" ht="45" hidden="1">
      <c r="A472" s="249" t="s">
        <v>375</v>
      </c>
      <c r="B472" s="252" t="s">
        <v>376</v>
      </c>
      <c r="C472" s="249">
        <v>5761</v>
      </c>
      <c r="D472" s="249" t="s">
        <v>377</v>
      </c>
      <c r="E472" s="255" t="s">
        <v>226</v>
      </c>
      <c r="L472" s="264">
        <v>144920.66317840383</v>
      </c>
      <c r="M472" s="264">
        <v>0</v>
      </c>
      <c r="N472" s="264">
        <v>0</v>
      </c>
    </row>
    <row r="473" spans="1:14" hidden="1">
      <c r="E473" s="255" t="s">
        <v>367</v>
      </c>
      <c r="L473" s="264">
        <v>1902952.5470374976</v>
      </c>
      <c r="M473" s="264">
        <v>0</v>
      </c>
      <c r="N473" s="264">
        <v>0</v>
      </c>
    </row>
    <row r="474" spans="1:14" ht="45" hidden="1">
      <c r="A474" s="249" t="s">
        <v>378</v>
      </c>
      <c r="B474" s="252" t="s">
        <v>379</v>
      </c>
      <c r="C474" s="249">
        <v>581</v>
      </c>
      <c r="D474" s="249" t="s">
        <v>380</v>
      </c>
      <c r="E474" s="255" t="s">
        <v>226</v>
      </c>
      <c r="L474" s="264">
        <v>0</v>
      </c>
      <c r="M474" s="264">
        <v>479914</v>
      </c>
      <c r="N474" s="264">
        <v>0</v>
      </c>
    </row>
    <row r="475" spans="1:14" hidden="1">
      <c r="E475" s="255" t="s">
        <v>367</v>
      </c>
      <c r="L475" s="264">
        <v>1396386.1965800459</v>
      </c>
      <c r="M475" s="264">
        <v>1621117</v>
      </c>
      <c r="N475" s="264">
        <v>0</v>
      </c>
    </row>
    <row r="476" spans="1:14" ht="30" hidden="1">
      <c r="A476" s="249" t="s">
        <v>363</v>
      </c>
      <c r="B476" s="252" t="s">
        <v>364</v>
      </c>
      <c r="C476" s="249">
        <v>11</v>
      </c>
      <c r="D476" s="249" t="s">
        <v>100</v>
      </c>
      <c r="E476" s="255" t="s">
        <v>84</v>
      </c>
      <c r="L476" s="264">
        <v>8076988.9318146845</v>
      </c>
      <c r="M476" s="264">
        <v>8115352.2037294889</v>
      </c>
      <c r="N476" s="264">
        <v>8153912.0023431843</v>
      </c>
    </row>
    <row r="477" spans="1:14" hidden="1">
      <c r="E477" s="255" t="s">
        <v>226</v>
      </c>
      <c r="L477" s="264">
        <v>160292.36171896098</v>
      </c>
      <c r="M477" s="264">
        <v>161053.70230149772</v>
      </c>
      <c r="N477" s="264">
        <v>161818.94306626474</v>
      </c>
    </row>
    <row r="478" spans="1:14" hidden="1">
      <c r="A478" s="249" t="s">
        <v>383</v>
      </c>
      <c r="B478" s="252" t="s">
        <v>384</v>
      </c>
      <c r="C478" s="249">
        <v>11</v>
      </c>
      <c r="D478" s="249" t="s">
        <v>100</v>
      </c>
      <c r="E478" s="255" t="s">
        <v>84</v>
      </c>
      <c r="L478" s="264">
        <v>189978.05235461515</v>
      </c>
      <c r="M478" s="264">
        <v>189978.05235461515</v>
      </c>
      <c r="N478" s="264">
        <v>189978.05235461515</v>
      </c>
    </row>
    <row r="479" spans="1:14" ht="30" hidden="1">
      <c r="A479" s="249" t="s">
        <v>365</v>
      </c>
      <c r="B479" s="252" t="s">
        <v>366</v>
      </c>
      <c r="C479" s="249">
        <v>11</v>
      </c>
      <c r="D479" s="249" t="s">
        <v>100</v>
      </c>
      <c r="E479" s="255" t="s">
        <v>226</v>
      </c>
      <c r="L479" s="264">
        <v>842817.89479235862</v>
      </c>
      <c r="M479" s="264">
        <v>842817.89479235862</v>
      </c>
      <c r="N479" s="264">
        <v>842817.89479235862</v>
      </c>
    </row>
    <row r="480" spans="1:14" ht="30" hidden="1">
      <c r="A480" s="249" t="s">
        <v>368</v>
      </c>
      <c r="B480" s="252" t="s">
        <v>369</v>
      </c>
      <c r="C480" s="249">
        <v>51</v>
      </c>
      <c r="D480" s="249" t="s">
        <v>109</v>
      </c>
      <c r="E480" s="255" t="s">
        <v>84</v>
      </c>
      <c r="L480" s="264">
        <v>26339</v>
      </c>
      <c r="M480" s="264">
        <v>12300</v>
      </c>
      <c r="N480" s="264">
        <v>12000</v>
      </c>
    </row>
    <row r="481" spans="1:14" hidden="1">
      <c r="E481" s="255" t="s">
        <v>226</v>
      </c>
      <c r="L481" s="264">
        <v>103074</v>
      </c>
      <c r="M481" s="264">
        <v>65667</v>
      </c>
      <c r="N481" s="264">
        <v>87667</v>
      </c>
    </row>
    <row r="482" spans="1:14" hidden="1">
      <c r="E482" s="255" t="s">
        <v>367</v>
      </c>
      <c r="L482" s="264">
        <v>11708</v>
      </c>
      <c r="M482" s="264">
        <v>8063</v>
      </c>
      <c r="N482" s="264">
        <v>11998</v>
      </c>
    </row>
    <row r="483" spans="1:14" hidden="1">
      <c r="C483" s="249">
        <v>52</v>
      </c>
      <c r="D483" s="249" t="s">
        <v>69</v>
      </c>
      <c r="E483" s="255" t="s">
        <v>84</v>
      </c>
      <c r="L483" s="264">
        <v>47500</v>
      </c>
      <c r="M483" s="264">
        <v>105500</v>
      </c>
      <c r="N483" s="264">
        <v>43000</v>
      </c>
    </row>
    <row r="484" spans="1:14" hidden="1">
      <c r="E484" s="255" t="s">
        <v>226</v>
      </c>
      <c r="L484" s="264">
        <v>32393</v>
      </c>
      <c r="M484" s="264">
        <v>49569</v>
      </c>
      <c r="N484" s="264">
        <v>20667</v>
      </c>
    </row>
    <row r="485" spans="1:14" hidden="1">
      <c r="E485" s="255" t="s">
        <v>367</v>
      </c>
      <c r="L485" s="264">
        <v>4000</v>
      </c>
      <c r="M485" s="264">
        <v>5055</v>
      </c>
      <c r="N485" s="264">
        <v>3000</v>
      </c>
    </row>
    <row r="486" spans="1:14" ht="30" hidden="1">
      <c r="A486" s="249" t="s">
        <v>370</v>
      </c>
      <c r="B486" s="252" t="s">
        <v>371</v>
      </c>
      <c r="C486" s="249">
        <v>31</v>
      </c>
      <c r="D486" s="249" t="s">
        <v>333</v>
      </c>
      <c r="E486" s="255" t="s">
        <v>84</v>
      </c>
      <c r="L486" s="264">
        <v>14599.508925608865</v>
      </c>
      <c r="M486" s="264">
        <v>15329.48437188931</v>
      </c>
      <c r="N486" s="264">
        <v>16095.958590483773</v>
      </c>
    </row>
    <row r="487" spans="1:14" hidden="1">
      <c r="E487" s="255" t="s">
        <v>226</v>
      </c>
      <c r="L487" s="264">
        <v>430021.89926338836</v>
      </c>
      <c r="M487" s="264">
        <v>451522.99422655778</v>
      </c>
      <c r="N487" s="264">
        <v>474099.1439378857</v>
      </c>
    </row>
    <row r="488" spans="1:14" hidden="1">
      <c r="E488" s="255" t="s">
        <v>367</v>
      </c>
      <c r="L488" s="264">
        <v>1327.2280841462605</v>
      </c>
      <c r="M488" s="264">
        <v>1393.5894883535734</v>
      </c>
      <c r="N488" s="264">
        <v>1463.2689627712521</v>
      </c>
    </row>
    <row r="489" spans="1:14" hidden="1">
      <c r="C489" s="249">
        <v>43</v>
      </c>
      <c r="D489" s="249" t="s">
        <v>104</v>
      </c>
      <c r="E489" s="255" t="s">
        <v>84</v>
      </c>
      <c r="L489" s="264">
        <v>1596655.3852279515</v>
      </c>
      <c r="M489" s="264">
        <v>1676488.1544893489</v>
      </c>
      <c r="N489" s="264">
        <v>1760312.5622138162</v>
      </c>
    </row>
    <row r="490" spans="1:14" hidden="1">
      <c r="E490" s="255" t="s">
        <v>226</v>
      </c>
      <c r="L490" s="264">
        <v>599907.0940341095</v>
      </c>
      <c r="M490" s="264">
        <v>629902.44873581512</v>
      </c>
      <c r="N490" s="264">
        <v>661397.57117260585</v>
      </c>
    </row>
    <row r="491" spans="1:14" hidden="1">
      <c r="E491" s="255" t="s">
        <v>215</v>
      </c>
      <c r="L491" s="264">
        <v>26544.56168292521</v>
      </c>
      <c r="M491" s="264">
        <v>27871.78976707147</v>
      </c>
      <c r="N491" s="264">
        <v>29265.379255425043</v>
      </c>
    </row>
    <row r="492" spans="1:14" hidden="1">
      <c r="E492" s="255" t="s">
        <v>367</v>
      </c>
      <c r="L492" s="264">
        <v>112814.38715243214</v>
      </c>
      <c r="M492" s="264">
        <v>118455.10651005374</v>
      </c>
      <c r="N492" s="264">
        <v>124377.86183555644</v>
      </c>
    </row>
    <row r="493" spans="1:14" hidden="1">
      <c r="C493" s="249">
        <v>52</v>
      </c>
      <c r="D493" s="249" t="s">
        <v>69</v>
      </c>
      <c r="E493" s="255" t="s">
        <v>84</v>
      </c>
      <c r="L493" s="264">
        <v>67390.802309376872</v>
      </c>
      <c r="M493" s="264">
        <v>56546.817970668257</v>
      </c>
      <c r="N493" s="264">
        <v>25345.676554515892</v>
      </c>
    </row>
    <row r="494" spans="1:14" hidden="1">
      <c r="E494" s="255" t="s">
        <v>226</v>
      </c>
      <c r="L494" s="264">
        <v>94922.025350056385</v>
      </c>
      <c r="M494" s="264">
        <v>59989.780343752078</v>
      </c>
      <c r="N494" s="264">
        <v>59712.124228548681</v>
      </c>
    </row>
    <row r="495" spans="1:14" hidden="1">
      <c r="E495" s="255" t="s">
        <v>367</v>
      </c>
      <c r="L495" s="264">
        <v>7963.3685048775624</v>
      </c>
      <c r="M495" s="264">
        <v>5308.9123365850419</v>
      </c>
      <c r="N495" s="264">
        <v>5308.9123365850419</v>
      </c>
    </row>
    <row r="496" spans="1:14" hidden="1">
      <c r="C496" s="249">
        <v>61</v>
      </c>
      <c r="D496" s="249" t="s">
        <v>276</v>
      </c>
      <c r="E496" s="255" t="s">
        <v>226</v>
      </c>
      <c r="L496" s="264">
        <v>1327.2280841462605</v>
      </c>
      <c r="M496" s="264">
        <v>1327.2280841462605</v>
      </c>
      <c r="N496" s="264">
        <v>1327.2280841462605</v>
      </c>
    </row>
    <row r="497" spans="1:14" hidden="1">
      <c r="E497" s="255" t="s">
        <v>215</v>
      </c>
      <c r="L497" s="264">
        <v>3981.6842524387812</v>
      </c>
      <c r="M497" s="264">
        <v>3981.6842524387812</v>
      </c>
      <c r="N497" s="264">
        <v>3981.6842524387812</v>
      </c>
    </row>
    <row r="498" spans="1:14" ht="45" hidden="1">
      <c r="A498" s="249" t="s">
        <v>375</v>
      </c>
      <c r="B498" s="252" t="s">
        <v>376</v>
      </c>
      <c r="C498" s="249">
        <v>5761</v>
      </c>
      <c r="D498" s="249" t="s">
        <v>377</v>
      </c>
      <c r="E498" s="255" t="s">
        <v>226</v>
      </c>
      <c r="L498" s="264">
        <v>73221.645077601672</v>
      </c>
      <c r="M498" s="264">
        <v>0</v>
      </c>
      <c r="N498" s="264">
        <v>0</v>
      </c>
    </row>
    <row r="499" spans="1:14" hidden="1">
      <c r="E499" s="255" t="s">
        <v>367</v>
      </c>
      <c r="L499" s="264">
        <v>489852.47337817523</v>
      </c>
      <c r="M499" s="264">
        <v>0</v>
      </c>
      <c r="N499" s="264">
        <v>0</v>
      </c>
    </row>
    <row r="500" spans="1:14" ht="45" hidden="1">
      <c r="A500" s="249" t="s">
        <v>378</v>
      </c>
      <c r="B500" s="252" t="s">
        <v>379</v>
      </c>
      <c r="C500" s="249">
        <v>581</v>
      </c>
      <c r="D500" s="249" t="s">
        <v>380</v>
      </c>
      <c r="E500" s="255" t="s">
        <v>226</v>
      </c>
      <c r="L500" s="264">
        <v>644938.45747057919</v>
      </c>
      <c r="M500" s="264">
        <v>3307921.9698719224</v>
      </c>
      <c r="N500" s="264">
        <v>0</v>
      </c>
    </row>
    <row r="501" spans="1:14" hidden="1">
      <c r="E501" s="255" t="s">
        <v>367</v>
      </c>
      <c r="L501" s="264">
        <v>76.909506043802068</v>
      </c>
      <c r="M501" s="264">
        <v>5693.8084809874572</v>
      </c>
      <c r="N501" s="264">
        <v>0</v>
      </c>
    </row>
    <row r="502" spans="1:14" ht="45" hidden="1">
      <c r="A502" s="249" t="s">
        <v>393</v>
      </c>
      <c r="B502" s="252" t="s">
        <v>394</v>
      </c>
      <c r="C502" s="249">
        <v>5762</v>
      </c>
      <c r="D502" s="249" t="s">
        <v>377</v>
      </c>
      <c r="E502" s="255" t="s">
        <v>226</v>
      </c>
      <c r="L502" s="264">
        <v>3150195.8095996301</v>
      </c>
      <c r="M502" s="264">
        <v>0</v>
      </c>
      <c r="N502" s="264">
        <v>0</v>
      </c>
    </row>
    <row r="503" spans="1:14" ht="30" hidden="1">
      <c r="A503" s="249" t="s">
        <v>363</v>
      </c>
      <c r="B503" s="252" t="s">
        <v>364</v>
      </c>
      <c r="C503" s="249">
        <v>11</v>
      </c>
      <c r="D503" s="249" t="s">
        <v>100</v>
      </c>
      <c r="E503" s="255" t="s">
        <v>84</v>
      </c>
      <c r="L503" s="264">
        <v>12315171.594366081</v>
      </c>
      <c r="M503" s="264">
        <v>12373664.96120619</v>
      </c>
      <c r="N503" s="264">
        <v>12432457.976843661</v>
      </c>
    </row>
    <row r="504" spans="1:14" hidden="1">
      <c r="E504" s="255" t="s">
        <v>226</v>
      </c>
      <c r="L504" s="264">
        <v>359234.44608963683</v>
      </c>
      <c r="M504" s="264">
        <v>360940.70183083473</v>
      </c>
      <c r="N504" s="264">
        <v>362655.69834912341</v>
      </c>
    </row>
    <row r="505" spans="1:14" ht="30" hidden="1">
      <c r="A505" s="249" t="s">
        <v>365</v>
      </c>
      <c r="B505" s="252" t="s">
        <v>366</v>
      </c>
      <c r="C505" s="249">
        <v>11</v>
      </c>
      <c r="D505" s="249" t="s">
        <v>100</v>
      </c>
      <c r="E505" s="255" t="s">
        <v>226</v>
      </c>
      <c r="L505" s="264">
        <v>999317.58289468219</v>
      </c>
      <c r="M505" s="264">
        <v>999317.58289468219</v>
      </c>
      <c r="N505" s="264">
        <v>999317.58289468219</v>
      </c>
    </row>
    <row r="506" spans="1:14" ht="30" hidden="1">
      <c r="A506" s="249" t="s">
        <v>368</v>
      </c>
      <c r="B506" s="252" t="s">
        <v>369</v>
      </c>
      <c r="C506" s="249">
        <v>51</v>
      </c>
      <c r="D506" s="249" t="s">
        <v>109</v>
      </c>
      <c r="E506" s="255" t="s">
        <v>84</v>
      </c>
      <c r="L506" s="264">
        <v>50433</v>
      </c>
      <c r="M506" s="264"/>
      <c r="N506" s="264"/>
    </row>
    <row r="507" spans="1:14" hidden="1">
      <c r="E507" s="255" t="s">
        <v>226</v>
      </c>
      <c r="L507" s="264">
        <v>110968</v>
      </c>
      <c r="M507" s="264"/>
      <c r="N507" s="264"/>
    </row>
    <row r="508" spans="1:14" hidden="1">
      <c r="C508" s="249">
        <v>52</v>
      </c>
      <c r="D508" s="249" t="s">
        <v>69</v>
      </c>
      <c r="E508" s="255" t="s">
        <v>84</v>
      </c>
      <c r="L508" s="264">
        <v>7767</v>
      </c>
      <c r="M508" s="264"/>
      <c r="N508" s="264"/>
    </row>
    <row r="509" spans="1:14" hidden="1">
      <c r="E509" s="255" t="s">
        <v>226</v>
      </c>
      <c r="L509" s="264">
        <v>29626</v>
      </c>
      <c r="M509" s="264">
        <v>14470</v>
      </c>
      <c r="N509" s="264">
        <v>11000</v>
      </c>
    </row>
    <row r="510" spans="1:14" ht="30" hidden="1">
      <c r="A510" s="249" t="s">
        <v>370</v>
      </c>
      <c r="B510" s="252" t="s">
        <v>371</v>
      </c>
      <c r="C510" s="249">
        <v>31</v>
      </c>
      <c r="D510" s="249" t="s">
        <v>333</v>
      </c>
      <c r="E510" s="255" t="s">
        <v>84</v>
      </c>
      <c r="L510" s="264">
        <v>309820</v>
      </c>
      <c r="M510" s="264">
        <v>315970</v>
      </c>
      <c r="N510" s="264">
        <v>322290</v>
      </c>
    </row>
    <row r="511" spans="1:14" hidden="1">
      <c r="E511" s="255" t="s">
        <v>226</v>
      </c>
      <c r="L511" s="264">
        <v>1317478</v>
      </c>
      <c r="M511" s="264">
        <v>1322277</v>
      </c>
      <c r="N511" s="264">
        <v>1339630</v>
      </c>
    </row>
    <row r="512" spans="1:14" hidden="1">
      <c r="E512" s="255" t="s">
        <v>192</v>
      </c>
      <c r="L512" s="264">
        <v>6351</v>
      </c>
      <c r="M512" s="264">
        <v>6589</v>
      </c>
      <c r="N512" s="264">
        <v>6321</v>
      </c>
    </row>
    <row r="513" spans="1:14" hidden="1">
      <c r="E513" s="255" t="s">
        <v>283</v>
      </c>
      <c r="L513" s="264">
        <v>4658</v>
      </c>
      <c r="M513" s="264">
        <v>4321</v>
      </c>
      <c r="N513" s="264">
        <v>4654</v>
      </c>
    </row>
    <row r="514" spans="1:14" hidden="1">
      <c r="E514" s="255" t="s">
        <v>367</v>
      </c>
      <c r="L514" s="264">
        <v>189309</v>
      </c>
      <c r="M514" s="264">
        <v>190817</v>
      </c>
      <c r="N514" s="264">
        <v>187008</v>
      </c>
    </row>
    <row r="515" spans="1:14" hidden="1">
      <c r="C515" s="249">
        <v>43</v>
      </c>
      <c r="D515" s="249" t="s">
        <v>104</v>
      </c>
      <c r="E515" s="255" t="s">
        <v>84</v>
      </c>
      <c r="L515" s="264">
        <v>322312</v>
      </c>
      <c r="M515" s="264">
        <v>455698</v>
      </c>
      <c r="N515" s="264">
        <v>455698</v>
      </c>
    </row>
    <row r="516" spans="1:14" hidden="1">
      <c r="E516" s="255" t="s">
        <v>226</v>
      </c>
      <c r="L516" s="264">
        <v>292836</v>
      </c>
      <c r="M516" s="264">
        <v>243922</v>
      </c>
      <c r="N516" s="264">
        <v>253517</v>
      </c>
    </row>
    <row r="517" spans="1:14" hidden="1">
      <c r="E517" s="255" t="s">
        <v>322</v>
      </c>
      <c r="L517" s="264">
        <v>946320</v>
      </c>
      <c r="M517" s="264">
        <v>910254</v>
      </c>
      <c r="N517" s="264">
        <v>900659</v>
      </c>
    </row>
    <row r="518" spans="1:14" hidden="1">
      <c r="C518" s="249">
        <v>61</v>
      </c>
      <c r="D518" s="249" t="s">
        <v>276</v>
      </c>
      <c r="E518" s="255" t="s">
        <v>226</v>
      </c>
      <c r="L518" s="264">
        <v>10000</v>
      </c>
      <c r="M518" s="264">
        <v>10000</v>
      </c>
      <c r="N518" s="264">
        <v>10000</v>
      </c>
    </row>
    <row r="519" spans="1:14" hidden="1">
      <c r="C519" s="249">
        <v>71</v>
      </c>
      <c r="D519" s="249" t="s">
        <v>387</v>
      </c>
      <c r="E519" s="255" t="s">
        <v>367</v>
      </c>
      <c r="L519" s="264">
        <v>3978</v>
      </c>
      <c r="M519" s="264">
        <v>4028</v>
      </c>
      <c r="N519" s="264">
        <v>4128</v>
      </c>
    </row>
    <row r="520" spans="1:14" hidden="1">
      <c r="E520" s="255" t="s">
        <v>322</v>
      </c>
      <c r="L520" s="264">
        <v>238900</v>
      </c>
      <c r="M520" s="264">
        <v>200000</v>
      </c>
      <c r="N520" s="264">
        <v>150000</v>
      </c>
    </row>
    <row r="521" spans="1:14" ht="30" hidden="1">
      <c r="A521" s="249" t="s">
        <v>388</v>
      </c>
      <c r="B521" s="252" t="s">
        <v>389</v>
      </c>
      <c r="C521" s="249">
        <v>12</v>
      </c>
      <c r="D521" s="249" t="s">
        <v>102</v>
      </c>
      <c r="E521" s="255" t="s">
        <v>84</v>
      </c>
      <c r="L521" s="264">
        <v>4031.9949145600085</v>
      </c>
      <c r="M521" s="264"/>
      <c r="N521" s="264"/>
    </row>
    <row r="522" spans="1:14" hidden="1">
      <c r="C522" s="249">
        <v>561</v>
      </c>
      <c r="D522" s="249" t="s">
        <v>390</v>
      </c>
      <c r="E522" s="255" t="s">
        <v>84</v>
      </c>
      <c r="L522" s="264">
        <v>22847.971182506713</v>
      </c>
      <c r="M522" s="264"/>
      <c r="N522" s="264"/>
    </row>
    <row r="523" spans="1:14" hidden="1">
      <c r="A523" s="249" t="s">
        <v>395</v>
      </c>
      <c r="B523" s="252" t="s">
        <v>395</v>
      </c>
      <c r="C523" s="249">
        <v>581</v>
      </c>
      <c r="D523" s="249" t="s">
        <v>380</v>
      </c>
      <c r="L523" s="264"/>
      <c r="M523" s="264"/>
      <c r="N523" s="264"/>
    </row>
    <row r="524" spans="1:14" ht="30" hidden="1">
      <c r="A524" s="249" t="s">
        <v>363</v>
      </c>
      <c r="B524" s="252" t="s">
        <v>364</v>
      </c>
      <c r="C524" s="249">
        <v>11</v>
      </c>
      <c r="D524" s="249" t="s">
        <v>100</v>
      </c>
      <c r="E524" s="255" t="s">
        <v>84</v>
      </c>
      <c r="L524" s="264">
        <v>10962522.802308448</v>
      </c>
      <c r="M524" s="264">
        <v>11014591.493585296</v>
      </c>
      <c r="N524" s="264">
        <v>11066926.921443816</v>
      </c>
    </row>
    <row r="525" spans="1:14" hidden="1">
      <c r="E525" s="255" t="s">
        <v>226</v>
      </c>
      <c r="L525" s="264">
        <v>249036.7352032864</v>
      </c>
      <c r="M525" s="264">
        <v>250219.58491003126</v>
      </c>
      <c r="N525" s="264">
        <v>251408.49409858123</v>
      </c>
    </row>
    <row r="526" spans="1:14" ht="30" hidden="1">
      <c r="A526" s="249" t="s">
        <v>365</v>
      </c>
      <c r="B526" s="252" t="s">
        <v>366</v>
      </c>
      <c r="C526" s="249">
        <v>11</v>
      </c>
      <c r="D526" s="249" t="s">
        <v>100</v>
      </c>
      <c r="E526" s="255" t="s">
        <v>84</v>
      </c>
      <c r="L526" s="264">
        <v>145428.50025410965</v>
      </c>
      <c r="M526" s="264">
        <v>145428.50025410965</v>
      </c>
      <c r="N526" s="264">
        <v>145428.50025410965</v>
      </c>
    </row>
    <row r="527" spans="1:14" hidden="1">
      <c r="E527" s="255" t="s">
        <v>226</v>
      </c>
      <c r="L527" s="264">
        <v>1134202.745031357</v>
      </c>
      <c r="M527" s="264">
        <v>1134202.745031357</v>
      </c>
      <c r="N527" s="264">
        <v>1134202.745031357</v>
      </c>
    </row>
    <row r="528" spans="1:14" hidden="1">
      <c r="E528" s="255" t="s">
        <v>192</v>
      </c>
      <c r="L528" s="264">
        <v>7865.5357339944203</v>
      </c>
      <c r="M528" s="264">
        <v>7865.5357339944203</v>
      </c>
      <c r="N528" s="264">
        <v>7865.5357339944203</v>
      </c>
    </row>
    <row r="529" spans="1:14" hidden="1">
      <c r="E529" s="255" t="s">
        <v>283</v>
      </c>
      <c r="L529" s="264">
        <v>10983.485328716521</v>
      </c>
      <c r="M529" s="264">
        <v>10983.485328716521</v>
      </c>
      <c r="N529" s="264">
        <v>10983.485328716521</v>
      </c>
    </row>
    <row r="530" spans="1:14" hidden="1">
      <c r="E530" s="255" t="s">
        <v>367</v>
      </c>
      <c r="L530" s="264">
        <v>183883.21192234888</v>
      </c>
      <c r="M530" s="264">
        <v>183883.21192234888</v>
      </c>
      <c r="N530" s="264">
        <v>183883.21192234888</v>
      </c>
    </row>
    <row r="531" spans="1:14" hidden="1">
      <c r="E531" s="255" t="s">
        <v>322</v>
      </c>
      <c r="L531" s="264">
        <v>192942.63675989365</v>
      </c>
      <c r="M531" s="264">
        <v>192942.63675989365</v>
      </c>
      <c r="N531" s="264">
        <v>192942.63675989365</v>
      </c>
    </row>
    <row r="532" spans="1:14" ht="30" hidden="1">
      <c r="A532" s="249" t="s">
        <v>368</v>
      </c>
      <c r="B532" s="252" t="s">
        <v>369</v>
      </c>
      <c r="C532" s="249">
        <v>51</v>
      </c>
      <c r="D532" s="249" t="s">
        <v>109</v>
      </c>
      <c r="E532" s="255" t="s">
        <v>84</v>
      </c>
      <c r="L532" s="264">
        <v>103320</v>
      </c>
      <c r="M532" s="264">
        <v>29120</v>
      </c>
      <c r="N532" s="264">
        <v>24179</v>
      </c>
    </row>
    <row r="533" spans="1:14" hidden="1">
      <c r="E533" s="255" t="s">
        <v>226</v>
      </c>
      <c r="L533" s="264">
        <v>115411</v>
      </c>
      <c r="M533" s="264">
        <v>82230</v>
      </c>
      <c r="N533" s="264">
        <v>65032</v>
      </c>
    </row>
    <row r="534" spans="1:14" hidden="1">
      <c r="E534" s="255" t="s">
        <v>367</v>
      </c>
      <c r="L534" s="264">
        <v>17738</v>
      </c>
      <c r="M534" s="264">
        <v>10185</v>
      </c>
      <c r="N534" s="264">
        <v>5092</v>
      </c>
    </row>
    <row r="535" spans="1:14" hidden="1">
      <c r="C535" s="249">
        <v>52</v>
      </c>
      <c r="D535" s="249" t="s">
        <v>69</v>
      </c>
      <c r="E535" s="255" t="s">
        <v>84</v>
      </c>
      <c r="L535" s="264">
        <v>22191</v>
      </c>
      <c r="M535" s="264"/>
      <c r="N535" s="264"/>
    </row>
    <row r="536" spans="1:14" hidden="1">
      <c r="E536" s="255" t="s">
        <v>226</v>
      </c>
      <c r="L536" s="264">
        <v>16496</v>
      </c>
      <c r="M536" s="264">
        <v>7800</v>
      </c>
      <c r="N536" s="264"/>
    </row>
    <row r="537" spans="1:14" hidden="1">
      <c r="E537" s="255" t="s">
        <v>204</v>
      </c>
      <c r="L537" s="264">
        <v>11062</v>
      </c>
      <c r="M537" s="264"/>
      <c r="N537" s="264"/>
    </row>
    <row r="538" spans="1:14" hidden="1">
      <c r="E538" s="255" t="s">
        <v>367</v>
      </c>
      <c r="L538" s="264">
        <v>4000</v>
      </c>
      <c r="M538" s="264">
        <v>3000</v>
      </c>
      <c r="N538" s="264"/>
    </row>
    <row r="539" spans="1:14" ht="30" hidden="1">
      <c r="A539" s="249" t="s">
        <v>370</v>
      </c>
      <c r="B539" s="252" t="s">
        <v>371</v>
      </c>
      <c r="C539" s="249">
        <v>31</v>
      </c>
      <c r="D539" s="249" t="s">
        <v>333</v>
      </c>
      <c r="E539" s="255" t="s">
        <v>84</v>
      </c>
      <c r="L539" s="264">
        <v>5608159</v>
      </c>
      <c r="M539" s="264">
        <v>5888568</v>
      </c>
      <c r="N539" s="264">
        <v>5888568</v>
      </c>
    </row>
    <row r="540" spans="1:14" hidden="1">
      <c r="E540" s="255" t="s">
        <v>226</v>
      </c>
      <c r="L540" s="264">
        <v>2106328</v>
      </c>
      <c r="M540" s="264">
        <v>2281476</v>
      </c>
      <c r="N540" s="264">
        <v>2211645</v>
      </c>
    </row>
    <row r="541" spans="1:14" hidden="1">
      <c r="E541" s="255" t="s">
        <v>192</v>
      </c>
      <c r="L541" s="264">
        <v>29549</v>
      </c>
      <c r="M541" s="264">
        <v>31027</v>
      </c>
      <c r="N541" s="264">
        <v>31027</v>
      </c>
    </row>
    <row r="542" spans="1:14" hidden="1">
      <c r="E542" s="255" t="s">
        <v>209</v>
      </c>
      <c r="L542" s="264">
        <v>28652</v>
      </c>
      <c r="M542" s="264">
        <v>30085</v>
      </c>
      <c r="N542" s="264">
        <v>30085</v>
      </c>
    </row>
    <row r="543" spans="1:14" hidden="1">
      <c r="E543" s="255" t="s">
        <v>215</v>
      </c>
      <c r="L543" s="264">
        <v>2500</v>
      </c>
      <c r="M543" s="264">
        <v>2625</v>
      </c>
      <c r="N543" s="264">
        <v>2625</v>
      </c>
    </row>
    <row r="544" spans="1:14" hidden="1">
      <c r="E544" s="255" t="s">
        <v>283</v>
      </c>
      <c r="L544" s="264">
        <v>20037</v>
      </c>
      <c r="M544" s="264">
        <v>21039</v>
      </c>
      <c r="N544" s="264">
        <v>21039</v>
      </c>
    </row>
    <row r="545" spans="1:14" hidden="1">
      <c r="E545" s="255" t="s">
        <v>367</v>
      </c>
      <c r="L545" s="264">
        <v>195912</v>
      </c>
      <c r="M545" s="264">
        <v>405707</v>
      </c>
      <c r="N545" s="264">
        <v>405707</v>
      </c>
    </row>
    <row r="546" spans="1:14" hidden="1">
      <c r="E546" s="255" t="s">
        <v>322</v>
      </c>
      <c r="L546" s="264">
        <v>143227</v>
      </c>
      <c r="M546" s="264">
        <v>450388</v>
      </c>
      <c r="N546" s="264">
        <v>450388</v>
      </c>
    </row>
    <row r="547" spans="1:14" hidden="1">
      <c r="E547" s="255" t="s">
        <v>396</v>
      </c>
      <c r="L547" s="264">
        <v>54827</v>
      </c>
      <c r="M547" s="264">
        <v>54827</v>
      </c>
      <c r="N547" s="264">
        <v>54827</v>
      </c>
    </row>
    <row r="548" spans="1:14" hidden="1">
      <c r="C548" s="249">
        <v>43</v>
      </c>
      <c r="D548" s="249" t="s">
        <v>104</v>
      </c>
      <c r="E548" s="255" t="s">
        <v>367</v>
      </c>
      <c r="L548" s="264">
        <v>760</v>
      </c>
      <c r="M548" s="264"/>
      <c r="N548" s="264"/>
    </row>
    <row r="549" spans="1:14" hidden="1">
      <c r="C549" s="249">
        <v>52</v>
      </c>
      <c r="D549" s="249" t="s">
        <v>69</v>
      </c>
      <c r="E549" s="255" t="s">
        <v>84</v>
      </c>
      <c r="L549" s="264">
        <v>205938</v>
      </c>
      <c r="M549" s="264">
        <v>101432</v>
      </c>
      <c r="N549" s="264">
        <v>62674</v>
      </c>
    </row>
    <row r="550" spans="1:14" hidden="1">
      <c r="E550" s="255" t="s">
        <v>226</v>
      </c>
      <c r="L550" s="264">
        <v>101163</v>
      </c>
      <c r="M550" s="264">
        <v>25663</v>
      </c>
      <c r="N550" s="264">
        <v>10813</v>
      </c>
    </row>
    <row r="551" spans="1:14" hidden="1">
      <c r="E551" s="255" t="s">
        <v>283</v>
      </c>
      <c r="L551" s="264">
        <v>4070</v>
      </c>
      <c r="M551" s="264"/>
      <c r="N551" s="264"/>
    </row>
    <row r="552" spans="1:14" hidden="1">
      <c r="E552" s="255" t="s">
        <v>367</v>
      </c>
      <c r="L552" s="264">
        <v>1382</v>
      </c>
      <c r="M552" s="264"/>
      <c r="N552" s="264"/>
    </row>
    <row r="553" spans="1:14" hidden="1">
      <c r="C553" s="249">
        <v>61</v>
      </c>
      <c r="D553" s="249" t="s">
        <v>276</v>
      </c>
      <c r="E553" s="255" t="s">
        <v>84</v>
      </c>
      <c r="L553" s="264">
        <v>78206</v>
      </c>
      <c r="M553" s="264"/>
      <c r="N553" s="264"/>
    </row>
    <row r="554" spans="1:14" hidden="1">
      <c r="E554" s="255" t="s">
        <v>226</v>
      </c>
      <c r="L554" s="264">
        <v>3783</v>
      </c>
      <c r="M554" s="264"/>
      <c r="N554" s="264"/>
    </row>
    <row r="555" spans="1:14" hidden="1">
      <c r="C555" s="249">
        <v>71</v>
      </c>
      <c r="D555" s="249" t="s">
        <v>387</v>
      </c>
      <c r="E555" s="255" t="s">
        <v>367</v>
      </c>
      <c r="L555" s="264">
        <v>1000</v>
      </c>
      <c r="M555" s="264">
        <v>900</v>
      </c>
      <c r="N555" s="264">
        <v>800</v>
      </c>
    </row>
    <row r="556" spans="1:14" ht="30" hidden="1">
      <c r="A556" s="249" t="s">
        <v>388</v>
      </c>
      <c r="B556" s="252" t="s">
        <v>389</v>
      </c>
      <c r="C556" s="249">
        <v>12</v>
      </c>
      <c r="D556" s="249" t="s">
        <v>102</v>
      </c>
      <c r="E556" s="255" t="s">
        <v>84</v>
      </c>
      <c r="L556" s="264"/>
      <c r="M556" s="264"/>
      <c r="N556" s="264"/>
    </row>
    <row r="557" spans="1:14" hidden="1">
      <c r="E557" s="255" t="s">
        <v>226</v>
      </c>
      <c r="L557" s="264"/>
      <c r="M557" s="264"/>
      <c r="N557" s="264"/>
    </row>
    <row r="558" spans="1:14" hidden="1">
      <c r="E558" s="255" t="s">
        <v>367</v>
      </c>
      <c r="L558" s="264"/>
      <c r="M558" s="264"/>
      <c r="N558" s="264"/>
    </row>
    <row r="559" spans="1:14" hidden="1">
      <c r="C559" s="249">
        <v>561</v>
      </c>
      <c r="D559" s="249" t="s">
        <v>390</v>
      </c>
      <c r="E559" s="255" t="s">
        <v>84</v>
      </c>
      <c r="L559" s="264"/>
      <c r="M559" s="264"/>
      <c r="N559" s="264"/>
    </row>
    <row r="560" spans="1:14" hidden="1">
      <c r="E560" s="255" t="s">
        <v>226</v>
      </c>
      <c r="L560" s="264"/>
      <c r="M560" s="264"/>
      <c r="N560" s="264"/>
    </row>
    <row r="561" spans="1:14" hidden="1">
      <c r="E561" s="255" t="s">
        <v>367</v>
      </c>
      <c r="L561" s="264"/>
      <c r="M561" s="264"/>
      <c r="N561" s="264"/>
    </row>
    <row r="562" spans="1:14" ht="45" hidden="1">
      <c r="A562" s="249" t="s">
        <v>375</v>
      </c>
      <c r="B562" s="252" t="s">
        <v>376</v>
      </c>
      <c r="C562" s="249">
        <v>5761</v>
      </c>
      <c r="D562" s="249" t="s">
        <v>377</v>
      </c>
      <c r="E562" s="255" t="s">
        <v>367</v>
      </c>
      <c r="L562" s="264">
        <v>20242.176140013202</v>
      </c>
      <c r="M562" s="264"/>
      <c r="N562" s="264"/>
    </row>
    <row r="563" spans="1:14" hidden="1">
      <c r="E563" s="255" t="s">
        <v>322</v>
      </c>
      <c r="L563" s="264">
        <v>2110512.291484159</v>
      </c>
      <c r="M563" s="264"/>
      <c r="N563" s="264"/>
    </row>
    <row r="564" spans="1:14" ht="45" hidden="1">
      <c r="A564" s="249" t="s">
        <v>378</v>
      </c>
      <c r="B564" s="252" t="s">
        <v>379</v>
      </c>
      <c r="C564" s="249">
        <v>581</v>
      </c>
      <c r="D564" s="249" t="s">
        <v>380</v>
      </c>
      <c r="E564" s="255" t="s">
        <v>322</v>
      </c>
      <c r="L564" s="264">
        <v>1690908.5453382267</v>
      </c>
      <c r="M564" s="264"/>
      <c r="N564" s="264"/>
    </row>
    <row r="565" spans="1:14" ht="30" hidden="1">
      <c r="A565" s="249" t="s">
        <v>363</v>
      </c>
      <c r="B565" s="252" t="s">
        <v>364</v>
      </c>
      <c r="C565" s="249">
        <v>11</v>
      </c>
      <c r="D565" s="249" t="s">
        <v>100</v>
      </c>
      <c r="E565" s="255" t="s">
        <v>84</v>
      </c>
      <c r="L565" s="264">
        <v>6134794.9114354281</v>
      </c>
      <c r="M565" s="264">
        <v>6163933.3449922595</v>
      </c>
      <c r="N565" s="264">
        <v>6193221.048407265</v>
      </c>
    </row>
    <row r="566" spans="1:14" hidden="1">
      <c r="E566" s="255" t="s">
        <v>226</v>
      </c>
      <c r="L566" s="264">
        <v>144602.45227139193</v>
      </c>
      <c r="M566" s="264">
        <v>145289.27049571605</v>
      </c>
      <c r="N566" s="264">
        <v>145979.60714043627</v>
      </c>
    </row>
    <row r="567" spans="1:14" ht="30" hidden="1">
      <c r="A567" s="249" t="s">
        <v>381</v>
      </c>
      <c r="B567" s="252" t="s">
        <v>382</v>
      </c>
      <c r="C567" s="249">
        <v>11</v>
      </c>
      <c r="D567" s="249" t="s">
        <v>100</v>
      </c>
      <c r="E567" s="255" t="s">
        <v>226</v>
      </c>
      <c r="L567" s="264">
        <v>113825</v>
      </c>
      <c r="M567" s="264">
        <v>113825</v>
      </c>
      <c r="N567" s="264">
        <v>113825</v>
      </c>
    </row>
    <row r="568" spans="1:14" ht="30" hidden="1">
      <c r="A568" s="249" t="s">
        <v>365</v>
      </c>
      <c r="B568" s="252" t="s">
        <v>366</v>
      </c>
      <c r="C568" s="249">
        <v>11</v>
      </c>
      <c r="D568" s="249" t="s">
        <v>100</v>
      </c>
      <c r="E568" s="255" t="s">
        <v>84</v>
      </c>
      <c r="L568" s="264">
        <v>12765.139702569209</v>
      </c>
      <c r="M568" s="264">
        <v>12765.139702569209</v>
      </c>
      <c r="N568" s="264">
        <v>12765.139702569209</v>
      </c>
    </row>
    <row r="569" spans="1:14" hidden="1">
      <c r="E569" s="255" t="s">
        <v>226</v>
      </c>
      <c r="L569" s="264">
        <v>759354.3820674147</v>
      </c>
      <c r="M569" s="264">
        <v>759354.3820674147</v>
      </c>
      <c r="N569" s="264">
        <v>759354.3820674147</v>
      </c>
    </row>
    <row r="570" spans="1:14" hidden="1">
      <c r="E570" s="255" t="s">
        <v>192</v>
      </c>
      <c r="L570" s="264">
        <v>3649.0698153767889</v>
      </c>
      <c r="M570" s="264">
        <v>3649.0698153767889</v>
      </c>
      <c r="N570" s="264">
        <v>3649.0698153767889</v>
      </c>
    </row>
    <row r="571" spans="1:14" hidden="1">
      <c r="E571" s="255" t="s">
        <v>209</v>
      </c>
      <c r="L571" s="264">
        <v>11025.639679718783</v>
      </c>
      <c r="M571" s="264">
        <v>11025.639679718783</v>
      </c>
      <c r="N571" s="264">
        <v>11025.639679718783</v>
      </c>
    </row>
    <row r="572" spans="1:14" hidden="1">
      <c r="E572" s="255" t="s">
        <v>367</v>
      </c>
      <c r="L572" s="264">
        <v>18515.314196709332</v>
      </c>
      <c r="M572" s="264">
        <v>18515.314196709332</v>
      </c>
      <c r="N572" s="264">
        <v>18515.314196709332</v>
      </c>
    </row>
    <row r="573" spans="1:14" ht="30" hidden="1">
      <c r="A573" s="249" t="s">
        <v>368</v>
      </c>
      <c r="B573" s="252" t="s">
        <v>369</v>
      </c>
      <c r="C573" s="249">
        <v>51</v>
      </c>
      <c r="D573" s="249" t="s">
        <v>109</v>
      </c>
      <c r="E573" s="255" t="s">
        <v>84</v>
      </c>
      <c r="L573" s="264">
        <v>21596</v>
      </c>
      <c r="M573" s="264">
        <v>7125</v>
      </c>
      <c r="N573" s="264">
        <v>3471</v>
      </c>
    </row>
    <row r="574" spans="1:14" hidden="1">
      <c r="E574" s="255" t="s">
        <v>226</v>
      </c>
      <c r="L574" s="264">
        <v>52127</v>
      </c>
      <c r="M574" s="264">
        <v>17729</v>
      </c>
      <c r="N574" s="264">
        <v>5876</v>
      </c>
    </row>
    <row r="575" spans="1:14" hidden="1">
      <c r="E575" s="255" t="s">
        <v>192</v>
      </c>
      <c r="L575" s="264">
        <v>137</v>
      </c>
      <c r="M575" s="264">
        <v>76</v>
      </c>
      <c r="N575" s="264">
        <v>34</v>
      </c>
    </row>
    <row r="576" spans="1:14" hidden="1">
      <c r="C576" s="249">
        <v>52</v>
      </c>
      <c r="D576" s="249" t="s">
        <v>69</v>
      </c>
      <c r="E576" s="255" t="s">
        <v>226</v>
      </c>
      <c r="L576" s="264">
        <v>24425</v>
      </c>
      <c r="M576" s="264">
        <v>10622</v>
      </c>
      <c r="N576" s="264">
        <v>0</v>
      </c>
    </row>
    <row r="577" spans="1:14" hidden="1">
      <c r="E577" s="255" t="s">
        <v>209</v>
      </c>
      <c r="L577" s="264">
        <v>949</v>
      </c>
      <c r="M577" s="264">
        <v>949</v>
      </c>
      <c r="N577" s="264">
        <v>0</v>
      </c>
    </row>
    <row r="578" spans="1:14" ht="30" hidden="1">
      <c r="A578" s="249" t="s">
        <v>370</v>
      </c>
      <c r="B578" s="252" t="s">
        <v>371</v>
      </c>
      <c r="C578" s="249">
        <v>31</v>
      </c>
      <c r="D578" s="249" t="s">
        <v>333</v>
      </c>
      <c r="E578" s="255" t="s">
        <v>84</v>
      </c>
      <c r="L578" s="264">
        <v>89025</v>
      </c>
      <c r="M578" s="264">
        <v>91783</v>
      </c>
      <c r="N578" s="264">
        <v>94629</v>
      </c>
    </row>
    <row r="579" spans="1:14" hidden="1">
      <c r="E579" s="255" t="s">
        <v>226</v>
      </c>
      <c r="L579" s="264">
        <v>138450</v>
      </c>
      <c r="M579" s="264">
        <v>142746</v>
      </c>
      <c r="N579" s="264">
        <v>147168</v>
      </c>
    </row>
    <row r="580" spans="1:14" hidden="1">
      <c r="E580" s="255" t="s">
        <v>192</v>
      </c>
      <c r="L580" s="264">
        <v>2137</v>
      </c>
      <c r="M580" s="264">
        <v>2202</v>
      </c>
      <c r="N580" s="264">
        <v>2271</v>
      </c>
    </row>
    <row r="581" spans="1:14" hidden="1">
      <c r="E581" s="255" t="s">
        <v>367</v>
      </c>
      <c r="L581" s="264">
        <v>62378</v>
      </c>
      <c r="M581" s="264">
        <v>64311</v>
      </c>
      <c r="N581" s="264">
        <v>66306</v>
      </c>
    </row>
    <row r="582" spans="1:14" hidden="1">
      <c r="C582" s="249">
        <v>43</v>
      </c>
      <c r="D582" s="249" t="s">
        <v>104</v>
      </c>
      <c r="E582" s="255" t="s">
        <v>84</v>
      </c>
      <c r="L582" s="264">
        <v>1016590</v>
      </c>
      <c r="M582" s="264">
        <v>1048104</v>
      </c>
      <c r="N582" s="264">
        <v>1080596</v>
      </c>
    </row>
    <row r="583" spans="1:14" hidden="1">
      <c r="E583" s="255" t="s">
        <v>226</v>
      </c>
      <c r="L583" s="264">
        <v>428635</v>
      </c>
      <c r="M583" s="264">
        <v>441926</v>
      </c>
      <c r="N583" s="264">
        <v>455625</v>
      </c>
    </row>
    <row r="584" spans="1:14" hidden="1">
      <c r="E584" s="255" t="s">
        <v>192</v>
      </c>
      <c r="L584" s="264">
        <v>13405</v>
      </c>
      <c r="M584" s="264">
        <v>13821</v>
      </c>
      <c r="N584" s="264">
        <v>14248</v>
      </c>
    </row>
    <row r="585" spans="1:14" hidden="1">
      <c r="E585" s="255" t="s">
        <v>209</v>
      </c>
      <c r="L585" s="264">
        <v>7292</v>
      </c>
      <c r="M585" s="264">
        <v>7518</v>
      </c>
      <c r="N585" s="264">
        <v>7751</v>
      </c>
    </row>
    <row r="586" spans="1:14" hidden="1">
      <c r="E586" s="255" t="s">
        <v>367</v>
      </c>
      <c r="L586" s="264">
        <v>71008</v>
      </c>
      <c r="M586" s="264">
        <v>62259</v>
      </c>
      <c r="N586" s="264">
        <v>64190</v>
      </c>
    </row>
    <row r="587" spans="1:14" hidden="1">
      <c r="C587" s="249">
        <v>52</v>
      </c>
      <c r="D587" s="249" t="s">
        <v>69</v>
      </c>
      <c r="E587" s="255" t="s">
        <v>84</v>
      </c>
      <c r="L587" s="264">
        <v>89221</v>
      </c>
      <c r="M587" s="264">
        <v>54674</v>
      </c>
      <c r="N587" s="264">
        <v>21299</v>
      </c>
    </row>
    <row r="588" spans="1:14" hidden="1">
      <c r="E588" s="255" t="s">
        <v>226</v>
      </c>
      <c r="L588" s="264">
        <v>16327</v>
      </c>
      <c r="M588" s="264">
        <v>15145</v>
      </c>
      <c r="N588" s="264">
        <v>14001</v>
      </c>
    </row>
    <row r="589" spans="1:14" ht="45" hidden="1">
      <c r="A589" s="249" t="s">
        <v>375</v>
      </c>
      <c r="B589" s="252" t="s">
        <v>376</v>
      </c>
      <c r="C589" s="249">
        <v>5761</v>
      </c>
      <c r="D589" s="249" t="s">
        <v>377</v>
      </c>
      <c r="E589" s="255" t="s">
        <v>226</v>
      </c>
      <c r="L589" s="264">
        <v>2727865.857079728</v>
      </c>
      <c r="M589" s="264">
        <v>0</v>
      </c>
      <c r="N589" s="264">
        <v>0</v>
      </c>
    </row>
    <row r="590" spans="1:14" ht="45" hidden="1">
      <c r="A590" s="249" t="s">
        <v>378</v>
      </c>
      <c r="B590" s="252" t="s">
        <v>379</v>
      </c>
      <c r="C590" s="249">
        <v>581</v>
      </c>
      <c r="D590" s="249" t="s">
        <v>380</v>
      </c>
      <c r="E590" s="255" t="s">
        <v>226</v>
      </c>
      <c r="L590" s="264">
        <v>3298656.6803130326</v>
      </c>
      <c r="M590" s="264">
        <v>0</v>
      </c>
      <c r="N590" s="264">
        <v>0</v>
      </c>
    </row>
    <row r="591" spans="1:14" ht="45" hidden="1">
      <c r="A591" s="249" t="s">
        <v>393</v>
      </c>
      <c r="B591" s="252" t="s">
        <v>394</v>
      </c>
      <c r="C591" s="249">
        <v>5762</v>
      </c>
      <c r="D591" s="249" t="s">
        <v>377</v>
      </c>
      <c r="E591" s="255" t="s">
        <v>226</v>
      </c>
      <c r="L591" s="264">
        <v>2275519.5674896855</v>
      </c>
      <c r="M591" s="264">
        <v>0</v>
      </c>
      <c r="N591" s="264">
        <v>0</v>
      </c>
    </row>
    <row r="592" spans="1:14" ht="30" hidden="1">
      <c r="A592" s="249" t="s">
        <v>363</v>
      </c>
      <c r="B592" s="252" t="s">
        <v>364</v>
      </c>
      <c r="C592" s="249">
        <v>11</v>
      </c>
      <c r="D592" s="249" t="s">
        <v>100</v>
      </c>
      <c r="E592" s="255" t="s">
        <v>84</v>
      </c>
      <c r="L592" s="264">
        <v>23318132.829664286</v>
      </c>
      <c r="M592" s="264">
        <v>23428886.958194327</v>
      </c>
      <c r="N592" s="264">
        <v>23540208.456038356</v>
      </c>
    </row>
    <row r="593" spans="1:14" hidden="1">
      <c r="E593" s="255" t="s">
        <v>226</v>
      </c>
      <c r="L593" s="264">
        <v>460518.63276727486</v>
      </c>
      <c r="M593" s="264">
        <v>462705.95797965641</v>
      </c>
      <c r="N593" s="264">
        <v>464904.48838340805</v>
      </c>
    </row>
    <row r="594" spans="1:14" ht="30" hidden="1">
      <c r="A594" s="249" t="s">
        <v>381</v>
      </c>
      <c r="B594" s="252" t="s">
        <v>382</v>
      </c>
      <c r="C594" s="249">
        <v>11</v>
      </c>
      <c r="D594" s="249" t="s">
        <v>100</v>
      </c>
      <c r="E594" s="255" t="s">
        <v>226</v>
      </c>
      <c r="L594" s="264">
        <v>91949</v>
      </c>
      <c r="M594" s="264">
        <v>91949</v>
      </c>
      <c r="N594" s="264">
        <v>91949</v>
      </c>
    </row>
    <row r="595" spans="1:14" hidden="1">
      <c r="A595" s="249" t="s">
        <v>383</v>
      </c>
      <c r="B595" s="252" t="s">
        <v>384</v>
      </c>
      <c r="C595" s="249">
        <v>11</v>
      </c>
      <c r="D595" s="249" t="s">
        <v>100</v>
      </c>
      <c r="E595" s="255" t="s">
        <v>84</v>
      </c>
      <c r="L595" s="264">
        <v>81692.663302800007</v>
      </c>
      <c r="M595" s="264">
        <v>81692.663302800007</v>
      </c>
      <c r="N595" s="264">
        <v>81692.663302800007</v>
      </c>
    </row>
    <row r="596" spans="1:14" hidden="1">
      <c r="E596" s="255" t="s">
        <v>226</v>
      </c>
      <c r="L596" s="264">
        <v>35060.653978399998</v>
      </c>
      <c r="M596" s="264">
        <v>35060.653978399998</v>
      </c>
      <c r="N596" s="264">
        <v>35060.653978399998</v>
      </c>
    </row>
    <row r="597" spans="1:14" hidden="1">
      <c r="E597" s="255" t="s">
        <v>192</v>
      </c>
      <c r="L597" s="264">
        <v>23491.249408799998</v>
      </c>
      <c r="M597" s="264">
        <v>23491.249408799998</v>
      </c>
      <c r="N597" s="264">
        <v>23491.249408799998</v>
      </c>
    </row>
    <row r="598" spans="1:14" ht="30" hidden="1">
      <c r="A598" s="249" t="s">
        <v>365</v>
      </c>
      <c r="B598" s="252" t="s">
        <v>366</v>
      </c>
      <c r="C598" s="249">
        <v>11</v>
      </c>
      <c r="D598" s="249" t="s">
        <v>100</v>
      </c>
      <c r="E598" s="255" t="s">
        <v>226</v>
      </c>
      <c r="L598" s="264">
        <v>1419211.5884104958</v>
      </c>
      <c r="M598" s="264">
        <v>1419211.5884104958</v>
      </c>
      <c r="N598" s="264">
        <v>1419211.5884104958</v>
      </c>
    </row>
    <row r="599" spans="1:14" hidden="1">
      <c r="E599" s="255" t="s">
        <v>209</v>
      </c>
      <c r="L599" s="264">
        <v>1035.2790833670799</v>
      </c>
      <c r="M599" s="264">
        <v>1035.2790833670799</v>
      </c>
      <c r="N599" s="264">
        <v>1035.2790833670799</v>
      </c>
    </row>
    <row r="600" spans="1:14" hidden="1">
      <c r="E600" s="255" t="s">
        <v>367</v>
      </c>
      <c r="L600" s="264">
        <v>242578.93341912469</v>
      </c>
      <c r="M600" s="264">
        <v>242578.93341912469</v>
      </c>
      <c r="N600" s="264">
        <v>242578.93341912469</v>
      </c>
    </row>
    <row r="601" spans="1:14" ht="30" hidden="1">
      <c r="A601" s="249" t="s">
        <v>368</v>
      </c>
      <c r="B601" s="252" t="s">
        <v>369</v>
      </c>
      <c r="C601" s="249">
        <v>51</v>
      </c>
      <c r="D601" s="249" t="s">
        <v>109</v>
      </c>
      <c r="E601" s="255" t="s">
        <v>84</v>
      </c>
      <c r="L601" s="264">
        <v>210309.61589537223</v>
      </c>
      <c r="M601" s="264">
        <v>147900</v>
      </c>
      <c r="N601" s="264">
        <v>124316</v>
      </c>
    </row>
    <row r="602" spans="1:14" hidden="1">
      <c r="E602" s="255" t="s">
        <v>226</v>
      </c>
      <c r="L602" s="264">
        <v>139688.63360160965</v>
      </c>
      <c r="M602" s="264">
        <v>73551</v>
      </c>
      <c r="N602" s="264">
        <v>54030</v>
      </c>
    </row>
    <row r="603" spans="1:14" hidden="1">
      <c r="E603" s="255" t="s">
        <v>209</v>
      </c>
      <c r="L603" s="264">
        <v>3977</v>
      </c>
      <c r="M603" s="264">
        <v>0</v>
      </c>
      <c r="N603" s="264">
        <v>0</v>
      </c>
    </row>
    <row r="604" spans="1:14" hidden="1">
      <c r="E604" s="255" t="s">
        <v>367</v>
      </c>
      <c r="L604" s="264">
        <v>10199</v>
      </c>
      <c r="M604" s="264">
        <v>10199</v>
      </c>
      <c r="N604" s="264">
        <v>10199</v>
      </c>
    </row>
    <row r="605" spans="1:14" hidden="1">
      <c r="C605" s="249">
        <v>52</v>
      </c>
      <c r="D605" s="249" t="s">
        <v>69</v>
      </c>
      <c r="E605" s="255" t="s">
        <v>84</v>
      </c>
      <c r="L605" s="264">
        <v>7655</v>
      </c>
      <c r="M605" s="264">
        <v>0</v>
      </c>
      <c r="N605" s="264">
        <v>0</v>
      </c>
    </row>
    <row r="606" spans="1:14" hidden="1">
      <c r="E606" s="255" t="s">
        <v>226</v>
      </c>
      <c r="L606" s="264">
        <v>20547</v>
      </c>
      <c r="M606" s="264">
        <v>0</v>
      </c>
      <c r="N606" s="264">
        <v>0</v>
      </c>
    </row>
    <row r="607" spans="1:14" hidden="1">
      <c r="E607" s="255" t="s">
        <v>215</v>
      </c>
      <c r="L607" s="264">
        <v>22967</v>
      </c>
      <c r="M607" s="264">
        <v>0</v>
      </c>
      <c r="N607" s="264">
        <v>0</v>
      </c>
    </row>
    <row r="608" spans="1:14" ht="30" hidden="1">
      <c r="A608" s="249" t="s">
        <v>370</v>
      </c>
      <c r="B608" s="252" t="s">
        <v>371</v>
      </c>
      <c r="C608" s="249">
        <v>31</v>
      </c>
      <c r="D608" s="249" t="s">
        <v>333</v>
      </c>
      <c r="E608" s="255" t="s">
        <v>84</v>
      </c>
      <c r="L608" s="264">
        <v>401200</v>
      </c>
      <c r="M608" s="264">
        <v>401200</v>
      </c>
      <c r="N608" s="264">
        <v>401200</v>
      </c>
    </row>
    <row r="609" spans="1:14" hidden="1">
      <c r="E609" s="255" t="s">
        <v>226</v>
      </c>
      <c r="L609" s="264">
        <v>497491</v>
      </c>
      <c r="M609" s="264">
        <v>497491</v>
      </c>
      <c r="N609" s="264">
        <v>497491</v>
      </c>
    </row>
    <row r="610" spans="1:14" hidden="1">
      <c r="E610" s="255" t="s">
        <v>367</v>
      </c>
      <c r="L610" s="264">
        <v>10423</v>
      </c>
      <c r="M610" s="264">
        <v>10423</v>
      </c>
      <c r="N610" s="264">
        <v>10423</v>
      </c>
    </row>
    <row r="611" spans="1:14" hidden="1">
      <c r="C611" s="249">
        <v>43</v>
      </c>
      <c r="D611" s="249" t="s">
        <v>104</v>
      </c>
      <c r="E611" s="255" t="s">
        <v>84</v>
      </c>
      <c r="L611" s="264">
        <v>712148</v>
      </c>
      <c r="M611" s="264">
        <v>526148</v>
      </c>
      <c r="N611" s="264">
        <v>526148</v>
      </c>
    </row>
    <row r="612" spans="1:14" hidden="1">
      <c r="E612" s="255" t="s">
        <v>226</v>
      </c>
      <c r="L612" s="264">
        <v>720567</v>
      </c>
      <c r="M612" s="264">
        <v>720567</v>
      </c>
      <c r="N612" s="264">
        <v>720567</v>
      </c>
    </row>
    <row r="613" spans="1:14" hidden="1">
      <c r="E613" s="255" t="s">
        <v>209</v>
      </c>
      <c r="L613" s="264">
        <v>8030</v>
      </c>
      <c r="M613" s="264">
        <v>8030</v>
      </c>
      <c r="N613" s="264">
        <v>8030</v>
      </c>
    </row>
    <row r="614" spans="1:14" hidden="1">
      <c r="E614" s="255" t="s">
        <v>367</v>
      </c>
      <c r="L614" s="264">
        <v>70978</v>
      </c>
      <c r="M614" s="264">
        <v>70978</v>
      </c>
      <c r="N614" s="264">
        <v>70978</v>
      </c>
    </row>
    <row r="615" spans="1:14" hidden="1">
      <c r="C615" s="249">
        <v>52</v>
      </c>
      <c r="D615" s="249" t="s">
        <v>69</v>
      </c>
      <c r="E615" s="255" t="s">
        <v>84</v>
      </c>
      <c r="L615" s="264">
        <v>408767</v>
      </c>
      <c r="M615" s="264">
        <v>268945</v>
      </c>
      <c r="N615" s="264">
        <v>148505</v>
      </c>
    </row>
    <row r="616" spans="1:14" hidden="1">
      <c r="E616" s="255" t="s">
        <v>226</v>
      </c>
      <c r="L616" s="264">
        <v>309371</v>
      </c>
      <c r="M616" s="264">
        <v>196057</v>
      </c>
      <c r="N616" s="264">
        <v>142914</v>
      </c>
    </row>
    <row r="617" spans="1:14" hidden="1">
      <c r="E617" s="255" t="s">
        <v>209</v>
      </c>
      <c r="L617" s="264">
        <v>49761</v>
      </c>
      <c r="M617" s="264">
        <v>6000</v>
      </c>
      <c r="N617" s="264">
        <v>178</v>
      </c>
    </row>
    <row r="618" spans="1:14" hidden="1">
      <c r="E618" s="255" t="s">
        <v>367</v>
      </c>
      <c r="L618" s="264">
        <v>5597</v>
      </c>
      <c r="M618" s="264">
        <v>2000</v>
      </c>
      <c r="N618" s="264"/>
    </row>
    <row r="619" spans="1:14" hidden="1">
      <c r="C619" s="249">
        <v>61</v>
      </c>
      <c r="D619" s="249" t="s">
        <v>276</v>
      </c>
      <c r="E619" s="255" t="s">
        <v>84</v>
      </c>
      <c r="L619" s="264">
        <v>30121</v>
      </c>
      <c r="M619" s="264">
        <v>30121</v>
      </c>
      <c r="N619" s="264">
        <v>30121</v>
      </c>
    </row>
    <row r="620" spans="1:14" hidden="1">
      <c r="E620" s="255" t="s">
        <v>226</v>
      </c>
      <c r="L620" s="264">
        <v>37238</v>
      </c>
      <c r="M620" s="264">
        <v>19482</v>
      </c>
      <c r="N620" s="264">
        <v>19482</v>
      </c>
    </row>
    <row r="621" spans="1:14" hidden="1">
      <c r="E621" s="255" t="s">
        <v>367</v>
      </c>
      <c r="L621" s="264">
        <v>3318</v>
      </c>
      <c r="M621" s="264">
        <v>3318</v>
      </c>
      <c r="N621" s="264">
        <v>3318</v>
      </c>
    </row>
    <row r="622" spans="1:14" ht="30" hidden="1">
      <c r="A622" s="249" t="s">
        <v>388</v>
      </c>
      <c r="B622" s="252" t="s">
        <v>389</v>
      </c>
      <c r="C622" s="249">
        <v>12</v>
      </c>
      <c r="D622" s="249" t="s">
        <v>102</v>
      </c>
      <c r="E622" s="255" t="s">
        <v>84</v>
      </c>
      <c r="L622" s="264">
        <v>9890.4312576274278</v>
      </c>
      <c r="M622" s="264">
        <v>0</v>
      </c>
      <c r="N622" s="264">
        <v>0</v>
      </c>
    </row>
    <row r="623" spans="1:14" hidden="1">
      <c r="E623" s="255" t="s">
        <v>226</v>
      </c>
      <c r="L623" s="264">
        <v>12624.287368498106</v>
      </c>
      <c r="M623" s="264">
        <v>0</v>
      </c>
      <c r="N623" s="264">
        <v>0</v>
      </c>
    </row>
    <row r="624" spans="1:14" hidden="1">
      <c r="E624" s="255" t="s">
        <v>367</v>
      </c>
      <c r="L624" s="264">
        <v>1647.4184360579661</v>
      </c>
      <c r="M624" s="264">
        <v>0</v>
      </c>
      <c r="N624" s="264">
        <v>0</v>
      </c>
    </row>
    <row r="625" spans="1:14" hidden="1">
      <c r="C625" s="249">
        <v>561</v>
      </c>
      <c r="D625" s="249" t="s">
        <v>390</v>
      </c>
      <c r="E625" s="255" t="s">
        <v>84</v>
      </c>
      <c r="L625" s="264">
        <v>56043.039296107112</v>
      </c>
      <c r="M625" s="264">
        <v>0</v>
      </c>
      <c r="N625" s="264">
        <v>0</v>
      </c>
    </row>
    <row r="626" spans="1:14" hidden="1">
      <c r="E626" s="255" t="s">
        <v>226</v>
      </c>
      <c r="L626" s="264">
        <v>71536.464236068801</v>
      </c>
      <c r="M626" s="264">
        <v>0</v>
      </c>
      <c r="N626" s="264">
        <v>0</v>
      </c>
    </row>
    <row r="627" spans="1:14" hidden="1">
      <c r="E627" s="255" t="s">
        <v>367</v>
      </c>
      <c r="L627" s="264">
        <v>9339.273153530592</v>
      </c>
      <c r="M627" s="264">
        <v>0</v>
      </c>
      <c r="N627" s="264">
        <v>0</v>
      </c>
    </row>
    <row r="628" spans="1:14" ht="30" hidden="1">
      <c r="A628" s="249" t="s">
        <v>363</v>
      </c>
      <c r="B628" s="252" t="s">
        <v>364</v>
      </c>
      <c r="C628" s="249">
        <v>11</v>
      </c>
      <c r="D628" s="249" t="s">
        <v>100</v>
      </c>
      <c r="E628" s="255" t="s">
        <v>84</v>
      </c>
      <c r="L628" s="264">
        <v>3268199.0148115139</v>
      </c>
      <c r="M628" s="264">
        <v>3283721.9786951272</v>
      </c>
      <c r="N628" s="264">
        <v>3299324.4633468296</v>
      </c>
    </row>
    <row r="629" spans="1:14" hidden="1">
      <c r="E629" s="255" t="s">
        <v>226</v>
      </c>
      <c r="L629" s="264">
        <v>88863.367520286673</v>
      </c>
      <c r="M629" s="264">
        <v>89285.441830431839</v>
      </c>
      <c r="N629" s="264">
        <v>89709.678335476463</v>
      </c>
    </row>
    <row r="630" spans="1:14" ht="30" hidden="1">
      <c r="A630" s="249" t="s">
        <v>381</v>
      </c>
      <c r="B630" s="252" t="s">
        <v>382</v>
      </c>
      <c r="C630" s="249">
        <v>11</v>
      </c>
      <c r="D630" s="249" t="s">
        <v>100</v>
      </c>
      <c r="E630" s="255" t="s">
        <v>226</v>
      </c>
      <c r="L630" s="264">
        <v>21646</v>
      </c>
      <c r="M630" s="264">
        <v>21646</v>
      </c>
      <c r="N630" s="264">
        <v>21646</v>
      </c>
    </row>
    <row r="631" spans="1:14" ht="30" hidden="1">
      <c r="A631" s="249" t="s">
        <v>365</v>
      </c>
      <c r="B631" s="252" t="s">
        <v>366</v>
      </c>
      <c r="C631" s="249">
        <v>11</v>
      </c>
      <c r="D631" s="249" t="s">
        <v>100</v>
      </c>
      <c r="E631" s="255" t="s">
        <v>226</v>
      </c>
      <c r="L631" s="264">
        <v>281464.06575988641</v>
      </c>
      <c r="M631" s="264">
        <v>281464.06575988641</v>
      </c>
      <c r="N631" s="264">
        <v>281464.06575988641</v>
      </c>
    </row>
    <row r="632" spans="1:14" hidden="1">
      <c r="E632" s="255" t="s">
        <v>192</v>
      </c>
      <c r="L632" s="264">
        <v>2930.2770380690381</v>
      </c>
      <c r="M632" s="264">
        <v>2930.2770380690381</v>
      </c>
      <c r="N632" s="264">
        <v>2930.2770380690381</v>
      </c>
    </row>
    <row r="633" spans="1:14" hidden="1">
      <c r="E633" s="255" t="s">
        <v>367</v>
      </c>
      <c r="L633" s="264">
        <v>40362.33745584773</v>
      </c>
      <c r="M633" s="264">
        <v>40362.33745584773</v>
      </c>
      <c r="N633" s="264">
        <v>40362.33745584773</v>
      </c>
    </row>
    <row r="634" spans="1:14" hidden="1">
      <c r="E634" s="255" t="s">
        <v>322</v>
      </c>
      <c r="L634" s="264">
        <v>35939.010530880849</v>
      </c>
      <c r="M634" s="264">
        <v>35939.010530880849</v>
      </c>
      <c r="N634" s="264">
        <v>35939.010530880849</v>
      </c>
    </row>
    <row r="635" spans="1:14" ht="30" hidden="1">
      <c r="A635" s="249" t="s">
        <v>368</v>
      </c>
      <c r="B635" s="252" t="s">
        <v>369</v>
      </c>
      <c r="C635" s="249">
        <v>52</v>
      </c>
      <c r="D635" s="249" t="s">
        <v>69</v>
      </c>
      <c r="E635" s="255" t="s">
        <v>84</v>
      </c>
      <c r="L635" s="264">
        <v>17442</v>
      </c>
      <c r="M635" s="264"/>
      <c r="N635" s="264"/>
    </row>
    <row r="636" spans="1:14" hidden="1">
      <c r="E636" s="255" t="s">
        <v>226</v>
      </c>
      <c r="L636" s="264">
        <v>10426</v>
      </c>
      <c r="M636" s="264"/>
      <c r="N636" s="264"/>
    </row>
    <row r="637" spans="1:14" ht="30" hidden="1">
      <c r="A637" s="249" t="s">
        <v>370</v>
      </c>
      <c r="B637" s="252" t="s">
        <v>371</v>
      </c>
      <c r="C637" s="249">
        <v>31</v>
      </c>
      <c r="D637" s="249" t="s">
        <v>333</v>
      </c>
      <c r="E637" s="255" t="s">
        <v>84</v>
      </c>
      <c r="L637" s="264">
        <v>612101</v>
      </c>
      <c r="M637" s="264">
        <v>612101</v>
      </c>
      <c r="N637" s="264">
        <v>612101</v>
      </c>
    </row>
    <row r="638" spans="1:14" hidden="1">
      <c r="E638" s="255" t="s">
        <v>226</v>
      </c>
      <c r="L638" s="264">
        <v>223349</v>
      </c>
      <c r="M638" s="264">
        <v>223699</v>
      </c>
      <c r="N638" s="264">
        <v>224199</v>
      </c>
    </row>
    <row r="639" spans="1:14" hidden="1">
      <c r="E639" s="255" t="s">
        <v>192</v>
      </c>
      <c r="L639" s="264">
        <v>18500</v>
      </c>
      <c r="M639" s="264">
        <v>18500</v>
      </c>
      <c r="N639" s="264">
        <v>18500</v>
      </c>
    </row>
    <row r="640" spans="1:14" hidden="1">
      <c r="E640" s="255" t="s">
        <v>209</v>
      </c>
      <c r="L640" s="264">
        <v>10000</v>
      </c>
      <c r="M640" s="264">
        <v>10000</v>
      </c>
      <c r="N640" s="264">
        <v>10000</v>
      </c>
    </row>
    <row r="641" spans="1:14" hidden="1">
      <c r="E641" s="255" t="s">
        <v>367</v>
      </c>
      <c r="L641" s="264">
        <v>35200</v>
      </c>
      <c r="M641" s="264">
        <v>35200</v>
      </c>
      <c r="N641" s="264">
        <v>35200</v>
      </c>
    </row>
    <row r="642" spans="1:14" hidden="1">
      <c r="E642" s="255" t="s">
        <v>322</v>
      </c>
      <c r="L642" s="264">
        <v>500850</v>
      </c>
      <c r="M642" s="264">
        <v>450500</v>
      </c>
      <c r="N642" s="264">
        <v>250000</v>
      </c>
    </row>
    <row r="643" spans="1:14" hidden="1">
      <c r="C643" s="249">
        <v>43</v>
      </c>
      <c r="D643" s="249" t="s">
        <v>104</v>
      </c>
      <c r="E643" s="255" t="s">
        <v>84</v>
      </c>
      <c r="L643" s="264">
        <v>18141</v>
      </c>
      <c r="M643" s="264">
        <v>18141</v>
      </c>
      <c r="N643" s="264">
        <v>18141</v>
      </c>
    </row>
    <row r="644" spans="1:14" hidden="1">
      <c r="E644" s="255" t="s">
        <v>226</v>
      </c>
      <c r="L644" s="264">
        <v>70792</v>
      </c>
      <c r="M644" s="264">
        <v>70792</v>
      </c>
      <c r="N644" s="264">
        <v>70792</v>
      </c>
    </row>
    <row r="645" spans="1:14" hidden="1">
      <c r="E645" s="255" t="s">
        <v>209</v>
      </c>
      <c r="L645" s="264">
        <v>3973</v>
      </c>
      <c r="M645" s="264">
        <v>3973</v>
      </c>
      <c r="N645" s="264">
        <v>3973</v>
      </c>
    </row>
    <row r="646" spans="1:14" hidden="1">
      <c r="C646" s="249">
        <v>52</v>
      </c>
      <c r="D646" s="249" t="s">
        <v>69</v>
      </c>
      <c r="E646" s="255" t="s">
        <v>84</v>
      </c>
      <c r="L646" s="264">
        <v>67095</v>
      </c>
      <c r="M646" s="264">
        <v>58103</v>
      </c>
      <c r="N646" s="264">
        <v>8336</v>
      </c>
    </row>
    <row r="647" spans="1:14" hidden="1">
      <c r="E647" s="255" t="s">
        <v>226</v>
      </c>
      <c r="L647" s="264">
        <v>85636</v>
      </c>
      <c r="M647" s="264">
        <v>37839</v>
      </c>
      <c r="N647" s="264">
        <v>27667</v>
      </c>
    </row>
    <row r="648" spans="1:14" hidden="1">
      <c r="E648" s="255" t="s">
        <v>209</v>
      </c>
      <c r="L648" s="264">
        <v>2654</v>
      </c>
      <c r="M648" s="264">
        <v>2654</v>
      </c>
      <c r="N648" s="264"/>
    </row>
    <row r="649" spans="1:14" hidden="1">
      <c r="E649" s="255" t="s">
        <v>367</v>
      </c>
      <c r="L649" s="264">
        <v>1023</v>
      </c>
      <c r="M649" s="264"/>
      <c r="N649" s="264"/>
    </row>
    <row r="650" spans="1:14" hidden="1">
      <c r="C650" s="249">
        <v>61</v>
      </c>
      <c r="D650" s="249" t="s">
        <v>276</v>
      </c>
      <c r="E650" s="255" t="s">
        <v>226</v>
      </c>
      <c r="L650" s="264">
        <v>13007</v>
      </c>
      <c r="M650" s="264">
        <v>13007</v>
      </c>
      <c r="N650" s="264">
        <v>13007</v>
      </c>
    </row>
    <row r="651" spans="1:14" hidden="1">
      <c r="E651" s="255" t="s">
        <v>367</v>
      </c>
      <c r="L651" s="264">
        <v>3583</v>
      </c>
      <c r="M651" s="264">
        <v>3583</v>
      </c>
      <c r="N651" s="264">
        <v>3583</v>
      </c>
    </row>
    <row r="652" spans="1:14" hidden="1">
      <c r="C652" s="249">
        <v>71</v>
      </c>
      <c r="D652" s="249" t="s">
        <v>387</v>
      </c>
      <c r="E652" s="255" t="s">
        <v>226</v>
      </c>
      <c r="L652" s="264">
        <v>119</v>
      </c>
      <c r="M652" s="264">
        <v>119</v>
      </c>
      <c r="N652" s="264">
        <v>119</v>
      </c>
    </row>
    <row r="653" spans="1:14" ht="30" hidden="1">
      <c r="A653" s="249" t="s">
        <v>363</v>
      </c>
      <c r="B653" s="252" t="s">
        <v>364</v>
      </c>
      <c r="C653" s="249">
        <v>11</v>
      </c>
      <c r="D653" s="249" t="s">
        <v>100</v>
      </c>
      <c r="E653" s="255" t="s">
        <v>84</v>
      </c>
      <c r="L653" s="264">
        <v>4138741.6031889035</v>
      </c>
      <c r="M653" s="264">
        <v>4158399.3829442821</v>
      </c>
      <c r="N653" s="264">
        <v>4178157.8652302339</v>
      </c>
    </row>
    <row r="654" spans="1:14" hidden="1">
      <c r="E654" s="255" t="s">
        <v>226</v>
      </c>
      <c r="L654" s="264">
        <v>57034.564517960884</v>
      </c>
      <c r="M654" s="264">
        <v>57305.461572001208</v>
      </c>
      <c r="N654" s="264">
        <v>57577.746372735521</v>
      </c>
    </row>
    <row r="655" spans="1:14" ht="30" hidden="1">
      <c r="A655" s="249" t="s">
        <v>381</v>
      </c>
      <c r="B655" s="252" t="s">
        <v>382</v>
      </c>
      <c r="C655" s="249">
        <v>11</v>
      </c>
      <c r="D655" s="249" t="s">
        <v>100</v>
      </c>
      <c r="E655" s="255" t="s">
        <v>226</v>
      </c>
      <c r="L655" s="264">
        <v>921</v>
      </c>
      <c r="M655" s="264">
        <v>921</v>
      </c>
      <c r="N655" s="264">
        <v>921</v>
      </c>
    </row>
    <row r="656" spans="1:14" hidden="1">
      <c r="A656" s="249" t="s">
        <v>383</v>
      </c>
      <c r="B656" s="252" t="s">
        <v>384</v>
      </c>
      <c r="C656" s="249">
        <v>11</v>
      </c>
      <c r="D656" s="249" t="s">
        <v>100</v>
      </c>
      <c r="E656" s="255" t="s">
        <v>84</v>
      </c>
      <c r="L656" s="264">
        <v>14730.827961775831</v>
      </c>
      <c r="M656" s="264">
        <v>14730.827961775831</v>
      </c>
      <c r="N656" s="264">
        <v>14730.827961775831</v>
      </c>
    </row>
    <row r="657" spans="1:14" ht="30" hidden="1">
      <c r="A657" s="249" t="s">
        <v>365</v>
      </c>
      <c r="B657" s="252" t="s">
        <v>366</v>
      </c>
      <c r="C657" s="249">
        <v>11</v>
      </c>
      <c r="D657" s="249" t="s">
        <v>100</v>
      </c>
      <c r="E657" s="255" t="s">
        <v>226</v>
      </c>
      <c r="L657" s="264">
        <v>597196.74394044594</v>
      </c>
      <c r="M657" s="264">
        <v>597196.74394044594</v>
      </c>
      <c r="N657" s="264">
        <v>597196.74394044594</v>
      </c>
    </row>
    <row r="658" spans="1:14" hidden="1">
      <c r="E658" s="255" t="s">
        <v>192</v>
      </c>
      <c r="L658" s="264">
        <v>6025.0083263413908</v>
      </c>
      <c r="M658" s="264">
        <v>6025.0083263413908</v>
      </c>
      <c r="N658" s="264">
        <v>6025.0083263413908</v>
      </c>
    </row>
    <row r="659" spans="1:14" hidden="1">
      <c r="E659" s="255" t="s">
        <v>367</v>
      </c>
      <c r="L659" s="264">
        <v>87636.484746783855</v>
      </c>
      <c r="M659" s="264">
        <v>87636.484746783855</v>
      </c>
      <c r="N659" s="264">
        <v>87636.484746783855</v>
      </c>
    </row>
    <row r="660" spans="1:14" hidden="1">
      <c r="E660" s="255" t="s">
        <v>322</v>
      </c>
      <c r="L660" s="264">
        <v>21909.121186695967</v>
      </c>
      <c r="M660" s="264">
        <v>21909.121186695967</v>
      </c>
      <c r="N660" s="264">
        <v>21909.121186695967</v>
      </c>
    </row>
    <row r="661" spans="1:14" ht="30" hidden="1">
      <c r="A661" s="249" t="s">
        <v>368</v>
      </c>
      <c r="B661" s="252" t="s">
        <v>369</v>
      </c>
      <c r="C661" s="249">
        <v>51</v>
      </c>
      <c r="D661" s="249" t="s">
        <v>109</v>
      </c>
      <c r="E661" s="255" t="s">
        <v>226</v>
      </c>
      <c r="L661" s="264">
        <v>19007.631561483839</v>
      </c>
      <c r="M661" s="264">
        <v>19007.631561483839</v>
      </c>
      <c r="N661" s="264">
        <v>1499.1041210432013</v>
      </c>
    </row>
    <row r="662" spans="1:14" ht="30" hidden="1">
      <c r="A662" s="249" t="s">
        <v>370</v>
      </c>
      <c r="B662" s="252" t="s">
        <v>371</v>
      </c>
      <c r="C662" s="249">
        <v>31</v>
      </c>
      <c r="D662" s="249" t="s">
        <v>333</v>
      </c>
      <c r="E662" s="255" t="s">
        <v>84</v>
      </c>
      <c r="L662" s="264">
        <v>7565.2000796336852</v>
      </c>
      <c r="M662" s="264">
        <v>7565.2000796336852</v>
      </c>
      <c r="N662" s="264">
        <v>7565.2000796336852</v>
      </c>
    </row>
    <row r="663" spans="1:14" hidden="1">
      <c r="E663" s="255" t="s">
        <v>226</v>
      </c>
      <c r="L663" s="264">
        <v>34507.930187802776</v>
      </c>
      <c r="M663" s="264">
        <v>34507.930187802776</v>
      </c>
      <c r="N663" s="264">
        <v>34507.930187802776</v>
      </c>
    </row>
    <row r="664" spans="1:14" hidden="1">
      <c r="E664" s="255" t="s">
        <v>367</v>
      </c>
      <c r="L664" s="264">
        <v>25615.502024022826</v>
      </c>
      <c r="M664" s="264">
        <v>25615.502024022826</v>
      </c>
      <c r="N664" s="264">
        <v>25615.502024022826</v>
      </c>
    </row>
    <row r="665" spans="1:14" hidden="1">
      <c r="C665" s="249">
        <v>43</v>
      </c>
      <c r="D665" s="249" t="s">
        <v>104</v>
      </c>
      <c r="E665" s="255" t="s">
        <v>84</v>
      </c>
      <c r="L665" s="264">
        <v>4778.0211029265374</v>
      </c>
      <c r="M665" s="264">
        <v>4778.0211029265374</v>
      </c>
      <c r="N665" s="264">
        <v>4778.0211029265374</v>
      </c>
    </row>
    <row r="666" spans="1:14" hidden="1">
      <c r="E666" s="255" t="s">
        <v>226</v>
      </c>
      <c r="L666" s="264">
        <v>77775.565730970877</v>
      </c>
      <c r="M666" s="264">
        <v>77775.565730970877</v>
      </c>
      <c r="N666" s="264">
        <v>77775.565730970877</v>
      </c>
    </row>
    <row r="667" spans="1:14" hidden="1">
      <c r="E667" s="255" t="s">
        <v>192</v>
      </c>
      <c r="L667" s="264">
        <v>19642.975645364655</v>
      </c>
      <c r="M667" s="264">
        <v>19642.975645364655</v>
      </c>
      <c r="N667" s="264">
        <v>19642.975645364655</v>
      </c>
    </row>
    <row r="668" spans="1:14" hidden="1">
      <c r="E668" s="255" t="s">
        <v>209</v>
      </c>
      <c r="L668" s="264">
        <v>1327.2280841462605</v>
      </c>
      <c r="M668" s="264">
        <v>1327.2280841462605</v>
      </c>
      <c r="N668" s="264">
        <v>1327.2280841462605</v>
      </c>
    </row>
    <row r="669" spans="1:14" hidden="1">
      <c r="C669" s="249">
        <v>52</v>
      </c>
      <c r="D669" s="249" t="s">
        <v>69</v>
      </c>
      <c r="E669" s="255" t="s">
        <v>226</v>
      </c>
      <c r="L669" s="264">
        <v>21248.921627181629</v>
      </c>
      <c r="M669" s="264">
        <v>2654.4561682925214</v>
      </c>
      <c r="N669" s="264">
        <v>2654.4561682925214</v>
      </c>
    </row>
    <row r="670" spans="1:14" hidden="1">
      <c r="E670" s="255" t="s">
        <v>367</v>
      </c>
      <c r="L670" s="264">
        <v>5010.2860176521335</v>
      </c>
      <c r="M670" s="264"/>
      <c r="N670" s="264"/>
    </row>
    <row r="671" spans="1:14" hidden="1">
      <c r="C671" s="249">
        <v>61</v>
      </c>
      <c r="D671" s="249" t="s">
        <v>276</v>
      </c>
      <c r="E671" s="255" t="s">
        <v>226</v>
      </c>
      <c r="L671" s="264">
        <v>7963.3685048775624</v>
      </c>
      <c r="M671" s="264">
        <v>7963.3685048775624</v>
      </c>
      <c r="N671" s="264">
        <v>7963.3685048775624</v>
      </c>
    </row>
    <row r="672" spans="1:14" ht="30" hidden="1">
      <c r="A672" s="249" t="s">
        <v>363</v>
      </c>
      <c r="B672" s="252" t="s">
        <v>364</v>
      </c>
      <c r="C672" s="249">
        <v>11</v>
      </c>
      <c r="D672" s="249" t="s">
        <v>100</v>
      </c>
      <c r="E672" s="255" t="s">
        <v>84</v>
      </c>
      <c r="L672" s="264">
        <v>4305052.2750930144</v>
      </c>
      <c r="M672" s="264">
        <v>4325499.9805970173</v>
      </c>
      <c r="N672" s="264">
        <v>4346052.4352494124</v>
      </c>
    </row>
    <row r="673" spans="1:14" hidden="1">
      <c r="E673" s="255" t="s">
        <v>226</v>
      </c>
      <c r="L673" s="264">
        <v>72750.516317966962</v>
      </c>
      <c r="M673" s="264">
        <v>73096.059423573446</v>
      </c>
      <c r="N673" s="264">
        <v>73443.372671362289</v>
      </c>
    </row>
    <row r="674" spans="1:14" ht="30" hidden="1">
      <c r="A674" s="249" t="s">
        <v>381</v>
      </c>
      <c r="B674" s="252" t="s">
        <v>382</v>
      </c>
      <c r="C674" s="249">
        <v>11</v>
      </c>
      <c r="D674" s="249" t="s">
        <v>100</v>
      </c>
      <c r="E674" s="255" t="s">
        <v>226</v>
      </c>
      <c r="L674" s="264">
        <v>1047</v>
      </c>
      <c r="M674" s="264">
        <v>1047</v>
      </c>
      <c r="N674" s="264">
        <v>1047</v>
      </c>
    </row>
    <row r="675" spans="1:14" hidden="1">
      <c r="A675" s="249" t="s">
        <v>383</v>
      </c>
      <c r="B675" s="252" t="s">
        <v>384</v>
      </c>
      <c r="C675" s="249">
        <v>11</v>
      </c>
      <c r="D675" s="249" t="s">
        <v>100</v>
      </c>
      <c r="E675" s="255" t="s">
        <v>84</v>
      </c>
      <c r="L675" s="264">
        <v>45518.116000000002</v>
      </c>
      <c r="M675" s="264">
        <v>45518.116000000002</v>
      </c>
      <c r="N675" s="264">
        <v>45518.116000000002</v>
      </c>
    </row>
    <row r="676" spans="1:14" ht="30" hidden="1">
      <c r="A676" s="249" t="s">
        <v>365</v>
      </c>
      <c r="B676" s="252" t="s">
        <v>366</v>
      </c>
      <c r="C676" s="249">
        <v>11</v>
      </c>
      <c r="D676" s="249" t="s">
        <v>100</v>
      </c>
      <c r="E676" s="255" t="s">
        <v>226</v>
      </c>
      <c r="L676" s="264">
        <v>635572.19439551828</v>
      </c>
      <c r="M676" s="264">
        <v>635572.19439551828</v>
      </c>
      <c r="N676" s="264">
        <v>635572.19439551828</v>
      </c>
    </row>
    <row r="677" spans="1:14" hidden="1">
      <c r="E677" s="255" t="s">
        <v>192</v>
      </c>
      <c r="L677" s="264">
        <v>3327.0930669611898</v>
      </c>
      <c r="M677" s="264">
        <v>3327.0930669611898</v>
      </c>
      <c r="N677" s="264">
        <v>3327.0930669611898</v>
      </c>
    </row>
    <row r="678" spans="1:14" hidden="1">
      <c r="E678" s="255" t="s">
        <v>367</v>
      </c>
      <c r="L678" s="264">
        <v>16924.418826973793</v>
      </c>
      <c r="M678" s="264">
        <v>16924.418826973793</v>
      </c>
      <c r="N678" s="264">
        <v>16924.418826973793</v>
      </c>
    </row>
    <row r="679" spans="1:14" ht="30" hidden="1">
      <c r="A679" s="249" t="s">
        <v>370</v>
      </c>
      <c r="B679" s="252" t="s">
        <v>371</v>
      </c>
      <c r="C679" s="249">
        <v>31</v>
      </c>
      <c r="D679" s="249" t="s">
        <v>333</v>
      </c>
      <c r="E679" s="255" t="s">
        <v>84</v>
      </c>
      <c r="L679" s="264">
        <v>39489</v>
      </c>
      <c r="M679" s="264">
        <v>39489</v>
      </c>
      <c r="N679" s="264">
        <v>39489</v>
      </c>
    </row>
    <row r="680" spans="1:14" hidden="1">
      <c r="E680" s="255" t="s">
        <v>226</v>
      </c>
      <c r="L680" s="264">
        <v>6275</v>
      </c>
      <c r="M680" s="264">
        <v>6275</v>
      </c>
      <c r="N680" s="264">
        <v>6275</v>
      </c>
    </row>
    <row r="681" spans="1:14" hidden="1">
      <c r="C681" s="249">
        <v>43</v>
      </c>
      <c r="D681" s="249" t="s">
        <v>104</v>
      </c>
      <c r="E681" s="255" t="s">
        <v>226</v>
      </c>
      <c r="L681" s="264">
        <v>80980</v>
      </c>
      <c r="M681" s="264">
        <v>80980</v>
      </c>
      <c r="N681" s="264">
        <v>80980</v>
      </c>
    </row>
    <row r="682" spans="1:14" hidden="1">
      <c r="C682" s="249">
        <v>51</v>
      </c>
      <c r="D682" s="249" t="s">
        <v>109</v>
      </c>
      <c r="E682" s="255" t="s">
        <v>84</v>
      </c>
      <c r="L682" s="264">
        <v>461</v>
      </c>
      <c r="M682" s="264">
        <v>0</v>
      </c>
      <c r="N682" s="264">
        <v>0</v>
      </c>
    </row>
    <row r="683" spans="1:14" hidden="1">
      <c r="E683" s="255" t="s">
        <v>226</v>
      </c>
      <c r="L683" s="264">
        <v>5039</v>
      </c>
      <c r="M683" s="264">
        <v>0</v>
      </c>
      <c r="N683" s="264">
        <v>0</v>
      </c>
    </row>
    <row r="684" spans="1:14" hidden="1">
      <c r="C684" s="249">
        <v>52</v>
      </c>
      <c r="D684" s="249" t="s">
        <v>69</v>
      </c>
      <c r="E684" s="255" t="s">
        <v>226</v>
      </c>
      <c r="L684" s="264">
        <v>24000</v>
      </c>
      <c r="M684" s="264">
        <v>24000</v>
      </c>
      <c r="N684" s="264">
        <v>24000</v>
      </c>
    </row>
    <row r="685" spans="1:14" hidden="1">
      <c r="C685" s="249">
        <v>61</v>
      </c>
      <c r="D685" s="249" t="s">
        <v>276</v>
      </c>
      <c r="E685" s="255" t="s">
        <v>226</v>
      </c>
      <c r="L685" s="264">
        <v>10000</v>
      </c>
      <c r="M685" s="264">
        <v>10000</v>
      </c>
      <c r="N685" s="264">
        <v>10000</v>
      </c>
    </row>
    <row r="686" spans="1:14" ht="45" hidden="1">
      <c r="A686" s="249" t="s">
        <v>375</v>
      </c>
      <c r="B686" s="252" t="s">
        <v>376</v>
      </c>
      <c r="C686" s="249">
        <v>5761</v>
      </c>
      <c r="D686" s="249" t="s">
        <v>377</v>
      </c>
      <c r="E686" s="255" t="s">
        <v>226</v>
      </c>
      <c r="L686" s="264">
        <v>297765.58792643156</v>
      </c>
      <c r="M686" s="264">
        <v>0</v>
      </c>
      <c r="N686" s="264">
        <v>0</v>
      </c>
    </row>
    <row r="687" spans="1:14" hidden="1">
      <c r="E687" s="255" t="s">
        <v>322</v>
      </c>
      <c r="L687" s="264">
        <v>2792545.0557550928</v>
      </c>
      <c r="M687" s="264">
        <v>0</v>
      </c>
      <c r="N687" s="264">
        <v>0</v>
      </c>
    </row>
    <row r="688" spans="1:14" ht="30" hidden="1">
      <c r="A688" s="249" t="s">
        <v>363</v>
      </c>
      <c r="B688" s="252" t="s">
        <v>364</v>
      </c>
      <c r="C688" s="249">
        <v>11</v>
      </c>
      <c r="D688" s="249" t="s">
        <v>100</v>
      </c>
      <c r="E688" s="255" t="s">
        <v>84</v>
      </c>
      <c r="L688" s="264">
        <v>6112495.9992906693</v>
      </c>
      <c r="M688" s="264">
        <v>6141528.5197111536</v>
      </c>
      <c r="N688" s="264">
        <v>6170709.7674198477</v>
      </c>
    </row>
    <row r="689" spans="1:14" hidden="1">
      <c r="E689" s="255" t="s">
        <v>226</v>
      </c>
      <c r="L689" s="264">
        <v>136143.84073467809</v>
      </c>
      <c r="M689" s="264">
        <v>136790.48309431502</v>
      </c>
      <c r="N689" s="264">
        <v>137440.43806213056</v>
      </c>
    </row>
    <row r="690" spans="1:14" ht="30" hidden="1">
      <c r="A690" s="249" t="s">
        <v>381</v>
      </c>
      <c r="B690" s="252" t="s">
        <v>382</v>
      </c>
      <c r="C690" s="249">
        <v>11</v>
      </c>
      <c r="D690" s="249" t="s">
        <v>100</v>
      </c>
      <c r="E690" s="255" t="s">
        <v>367</v>
      </c>
      <c r="L690" s="264">
        <v>3728</v>
      </c>
      <c r="M690" s="264">
        <v>3728</v>
      </c>
      <c r="N690" s="264">
        <v>3728</v>
      </c>
    </row>
    <row r="691" spans="1:14" hidden="1">
      <c r="A691" s="249" t="s">
        <v>383</v>
      </c>
      <c r="B691" s="252" t="s">
        <v>384</v>
      </c>
      <c r="C691" s="249">
        <v>11</v>
      </c>
      <c r="D691" s="249" t="s">
        <v>100</v>
      </c>
      <c r="E691" s="255" t="s">
        <v>84</v>
      </c>
      <c r="L691" s="264">
        <v>11574.60664</v>
      </c>
      <c r="M691" s="264">
        <v>11574.60664</v>
      </c>
      <c r="N691" s="264">
        <v>11574.60664</v>
      </c>
    </row>
    <row r="692" spans="1:14" hidden="1">
      <c r="E692" s="255" t="s">
        <v>192</v>
      </c>
      <c r="L692" s="264">
        <v>4551.8116</v>
      </c>
      <c r="M692" s="264">
        <v>4551.8116</v>
      </c>
      <c r="N692" s="264">
        <v>4551.8116</v>
      </c>
    </row>
    <row r="693" spans="1:14" ht="30" hidden="1">
      <c r="A693" s="249" t="s">
        <v>365</v>
      </c>
      <c r="B693" s="252" t="s">
        <v>366</v>
      </c>
      <c r="C693" s="249">
        <v>11</v>
      </c>
      <c r="D693" s="249" t="s">
        <v>100</v>
      </c>
      <c r="E693" s="255" t="s">
        <v>226</v>
      </c>
      <c r="L693" s="264">
        <v>941198.30306144804</v>
      </c>
      <c r="M693" s="264">
        <v>941198.30306144804</v>
      </c>
      <c r="N693" s="264">
        <v>941198.30306144804</v>
      </c>
    </row>
    <row r="694" spans="1:14" hidden="1">
      <c r="E694" s="255" t="s">
        <v>192</v>
      </c>
      <c r="L694" s="264">
        <v>1758.4883951928869</v>
      </c>
      <c r="M694" s="264">
        <v>1758.4883951928869</v>
      </c>
      <c r="N694" s="264">
        <v>1758.4883951928869</v>
      </c>
    </row>
    <row r="695" spans="1:14" hidden="1">
      <c r="E695" s="255" t="s">
        <v>209</v>
      </c>
      <c r="L695" s="264">
        <v>165.11628123876872</v>
      </c>
      <c r="M695" s="264">
        <v>165.11628123876872</v>
      </c>
      <c r="N695" s="264">
        <v>165.11628123876872</v>
      </c>
    </row>
    <row r="696" spans="1:14" hidden="1">
      <c r="E696" s="255" t="s">
        <v>367</v>
      </c>
      <c r="L696" s="264">
        <v>23776.744498382694</v>
      </c>
      <c r="M696" s="264">
        <v>23776.744498382694</v>
      </c>
      <c r="N696" s="264">
        <v>23776.744498382694</v>
      </c>
    </row>
    <row r="697" spans="1:14" ht="30" hidden="1">
      <c r="A697" s="249" t="s">
        <v>368</v>
      </c>
      <c r="B697" s="252" t="s">
        <v>369</v>
      </c>
      <c r="C697" s="249">
        <v>52</v>
      </c>
      <c r="D697" s="249" t="s">
        <v>69</v>
      </c>
      <c r="E697" s="255" t="s">
        <v>226</v>
      </c>
      <c r="L697" s="264">
        <v>13272</v>
      </c>
      <c r="M697" s="264">
        <v>0</v>
      </c>
      <c r="N697" s="264">
        <v>0</v>
      </c>
    </row>
    <row r="698" spans="1:14" ht="30" hidden="1">
      <c r="A698" s="249" t="s">
        <v>370</v>
      </c>
      <c r="B698" s="252" t="s">
        <v>371</v>
      </c>
      <c r="C698" s="249">
        <v>31</v>
      </c>
      <c r="D698" s="249" t="s">
        <v>333</v>
      </c>
      <c r="E698" s="255" t="s">
        <v>84</v>
      </c>
      <c r="L698" s="264">
        <v>48266</v>
      </c>
      <c r="M698" s="264">
        <v>58150</v>
      </c>
      <c r="N698" s="264">
        <v>58150</v>
      </c>
    </row>
    <row r="699" spans="1:14" hidden="1">
      <c r="E699" s="255" t="s">
        <v>226</v>
      </c>
      <c r="L699" s="264">
        <v>86514</v>
      </c>
      <c r="M699" s="264">
        <v>84790</v>
      </c>
      <c r="N699" s="264">
        <v>84790</v>
      </c>
    </row>
    <row r="700" spans="1:14" hidden="1">
      <c r="E700" s="255" t="s">
        <v>192</v>
      </c>
      <c r="L700" s="264">
        <v>1000</v>
      </c>
      <c r="M700" s="264">
        <v>1000</v>
      </c>
      <c r="N700" s="264">
        <v>1000</v>
      </c>
    </row>
    <row r="701" spans="1:14" hidden="1">
      <c r="E701" s="255" t="s">
        <v>367</v>
      </c>
      <c r="L701" s="264">
        <v>106178</v>
      </c>
      <c r="M701" s="264">
        <v>120000</v>
      </c>
      <c r="N701" s="264">
        <v>120000</v>
      </c>
    </row>
    <row r="702" spans="1:14" hidden="1">
      <c r="C702" s="249">
        <v>43</v>
      </c>
      <c r="D702" s="249" t="s">
        <v>104</v>
      </c>
      <c r="E702" s="255" t="s">
        <v>84</v>
      </c>
      <c r="L702" s="264">
        <v>33966</v>
      </c>
      <c r="M702" s="264">
        <v>47000</v>
      </c>
      <c r="N702" s="264">
        <v>47000</v>
      </c>
    </row>
    <row r="703" spans="1:14" hidden="1">
      <c r="E703" s="255" t="s">
        <v>226</v>
      </c>
      <c r="L703" s="264">
        <v>76804</v>
      </c>
      <c r="M703" s="264">
        <v>65670</v>
      </c>
      <c r="N703" s="264">
        <v>65670</v>
      </c>
    </row>
    <row r="704" spans="1:14" hidden="1">
      <c r="E704" s="255" t="s">
        <v>367</v>
      </c>
      <c r="L704" s="264">
        <v>14330</v>
      </c>
      <c r="M704" s="264">
        <v>15000</v>
      </c>
      <c r="N704" s="264">
        <v>15000</v>
      </c>
    </row>
    <row r="705" spans="1:14" hidden="1">
      <c r="C705" s="249">
        <v>52</v>
      </c>
      <c r="D705" s="249" t="s">
        <v>69</v>
      </c>
      <c r="E705" s="255" t="s">
        <v>226</v>
      </c>
      <c r="L705" s="264">
        <v>367996</v>
      </c>
      <c r="M705" s="264">
        <v>412050</v>
      </c>
      <c r="N705" s="264">
        <v>412050</v>
      </c>
    </row>
    <row r="706" spans="1:14" hidden="1">
      <c r="E706" s="255" t="s">
        <v>192</v>
      </c>
      <c r="L706" s="264">
        <v>1990</v>
      </c>
      <c r="M706" s="264">
        <v>2000</v>
      </c>
      <c r="N706" s="264">
        <v>2000</v>
      </c>
    </row>
    <row r="707" spans="1:14" hidden="1">
      <c r="E707" s="255" t="s">
        <v>283</v>
      </c>
      <c r="L707" s="264">
        <v>1427228</v>
      </c>
      <c r="M707" s="264">
        <v>1467228</v>
      </c>
      <c r="N707" s="264">
        <v>140000</v>
      </c>
    </row>
    <row r="708" spans="1:14" ht="30" hidden="1">
      <c r="A708" s="249" t="s">
        <v>363</v>
      </c>
      <c r="B708" s="252" t="s">
        <v>364</v>
      </c>
      <c r="C708" s="249">
        <v>11</v>
      </c>
      <c r="D708" s="249" t="s">
        <v>100</v>
      </c>
      <c r="E708" s="255" t="s">
        <v>84</v>
      </c>
      <c r="L708" s="264">
        <v>3794886.051677281</v>
      </c>
      <c r="M708" s="264">
        <v>3812910.6208224413</v>
      </c>
      <c r="N708" s="264">
        <v>3831027.5259154039</v>
      </c>
    </row>
    <row r="709" spans="1:14" hidden="1">
      <c r="E709" s="255" t="s">
        <v>226</v>
      </c>
      <c r="L709" s="264">
        <v>69786.305073037889</v>
      </c>
      <c r="M709" s="264">
        <v>70117.769065380504</v>
      </c>
      <c r="N709" s="264">
        <v>70450.931075670102</v>
      </c>
    </row>
    <row r="710" spans="1:14" ht="30" hidden="1">
      <c r="A710" s="249" t="s">
        <v>381</v>
      </c>
      <c r="B710" s="252" t="s">
        <v>382</v>
      </c>
      <c r="C710" s="249">
        <v>11</v>
      </c>
      <c r="D710" s="249" t="s">
        <v>100</v>
      </c>
      <c r="E710" s="255" t="s">
        <v>226</v>
      </c>
      <c r="L710" s="264">
        <v>11461</v>
      </c>
      <c r="M710" s="264">
        <v>11461</v>
      </c>
      <c r="N710" s="264">
        <v>11461</v>
      </c>
    </row>
    <row r="711" spans="1:14" hidden="1">
      <c r="A711" s="249" t="s">
        <v>383</v>
      </c>
      <c r="B711" s="252" t="s">
        <v>384</v>
      </c>
      <c r="C711" s="249">
        <v>11</v>
      </c>
      <c r="D711" s="249" t="s">
        <v>100</v>
      </c>
      <c r="E711" s="255" t="s">
        <v>215</v>
      </c>
      <c r="L711" s="264">
        <v>22352.646250000002</v>
      </c>
      <c r="M711" s="264">
        <v>22352.646250000002</v>
      </c>
      <c r="N711" s="264">
        <v>22352.646250000002</v>
      </c>
    </row>
    <row r="712" spans="1:14" ht="30" hidden="1">
      <c r="A712" s="249" t="s">
        <v>365</v>
      </c>
      <c r="B712" s="252" t="s">
        <v>366</v>
      </c>
      <c r="C712" s="249">
        <v>11</v>
      </c>
      <c r="D712" s="249" t="s">
        <v>100</v>
      </c>
      <c r="E712" s="255" t="s">
        <v>226</v>
      </c>
      <c r="L712" s="264">
        <v>292173.26677463576</v>
      </c>
      <c r="M712" s="264">
        <v>292173.26677463576</v>
      </c>
      <c r="N712" s="264">
        <v>292173.26677463576</v>
      </c>
    </row>
    <row r="713" spans="1:14" hidden="1">
      <c r="E713" s="255" t="s">
        <v>367</v>
      </c>
      <c r="L713" s="264">
        <v>38803.970131288523</v>
      </c>
      <c r="M713" s="264">
        <v>38803.970131288523</v>
      </c>
      <c r="N713" s="264">
        <v>38803.970131288523</v>
      </c>
    </row>
    <row r="714" spans="1:14" ht="30" hidden="1">
      <c r="A714" s="249" t="s">
        <v>368</v>
      </c>
      <c r="B714" s="252" t="s">
        <v>369</v>
      </c>
      <c r="C714" s="249">
        <v>51</v>
      </c>
      <c r="D714" s="249" t="s">
        <v>109</v>
      </c>
      <c r="E714" s="255" t="s">
        <v>84</v>
      </c>
      <c r="L714" s="264">
        <v>9611</v>
      </c>
      <c r="M714" s="264"/>
      <c r="N714" s="264"/>
    </row>
    <row r="715" spans="1:14" hidden="1">
      <c r="E715" s="255" t="s">
        <v>226</v>
      </c>
      <c r="L715" s="264">
        <v>13548</v>
      </c>
      <c r="M715" s="264"/>
      <c r="N715" s="264"/>
    </row>
    <row r="716" spans="1:14" hidden="1">
      <c r="E716" s="255" t="s">
        <v>204</v>
      </c>
      <c r="L716" s="264">
        <v>77056</v>
      </c>
      <c r="M716" s="264"/>
      <c r="N716" s="264"/>
    </row>
    <row r="717" spans="1:14" ht="30" hidden="1">
      <c r="A717" s="249" t="s">
        <v>370</v>
      </c>
      <c r="B717" s="252" t="s">
        <v>371</v>
      </c>
      <c r="C717" s="249">
        <v>31</v>
      </c>
      <c r="D717" s="249" t="s">
        <v>333</v>
      </c>
      <c r="E717" s="255" t="s">
        <v>84</v>
      </c>
      <c r="L717" s="264">
        <v>33447</v>
      </c>
      <c r="M717" s="264">
        <v>33447</v>
      </c>
      <c r="N717" s="264">
        <v>33447</v>
      </c>
    </row>
    <row r="718" spans="1:14" hidden="1">
      <c r="E718" s="255" t="s">
        <v>226</v>
      </c>
      <c r="L718" s="264">
        <v>162532</v>
      </c>
      <c r="M718" s="264">
        <v>194120</v>
      </c>
      <c r="N718" s="264">
        <v>162532</v>
      </c>
    </row>
    <row r="719" spans="1:14" hidden="1">
      <c r="C719" s="249">
        <v>43</v>
      </c>
      <c r="D719" s="249" t="s">
        <v>104</v>
      </c>
      <c r="E719" s="255" t="s">
        <v>84</v>
      </c>
      <c r="L719" s="264">
        <v>509610</v>
      </c>
      <c r="M719" s="264">
        <v>534351</v>
      </c>
      <c r="N719" s="264">
        <v>525074</v>
      </c>
    </row>
    <row r="720" spans="1:14" hidden="1">
      <c r="E720" s="255" t="s">
        <v>226</v>
      </c>
      <c r="L720" s="264">
        <v>813602</v>
      </c>
      <c r="M720" s="264">
        <v>828679</v>
      </c>
      <c r="N720" s="264">
        <v>804774</v>
      </c>
    </row>
    <row r="721" spans="1:14" hidden="1">
      <c r="E721" s="255" t="s">
        <v>192</v>
      </c>
      <c r="L721" s="264">
        <v>3351</v>
      </c>
      <c r="M721" s="264">
        <v>3350</v>
      </c>
      <c r="N721" s="264">
        <v>3351</v>
      </c>
    </row>
    <row r="722" spans="1:14" hidden="1">
      <c r="E722" s="255" t="s">
        <v>367</v>
      </c>
      <c r="L722" s="264">
        <v>71008</v>
      </c>
      <c r="M722" s="264">
        <v>84280</v>
      </c>
      <c r="N722" s="264">
        <v>64372</v>
      </c>
    </row>
    <row r="723" spans="1:14" hidden="1">
      <c r="C723" s="249">
        <v>52</v>
      </c>
      <c r="D723" s="249" t="s">
        <v>69</v>
      </c>
      <c r="E723" s="255" t="s">
        <v>84</v>
      </c>
      <c r="L723" s="264">
        <v>78353</v>
      </c>
      <c r="M723" s="264">
        <v>61703</v>
      </c>
      <c r="N723" s="264">
        <v>15759</v>
      </c>
    </row>
    <row r="724" spans="1:14" hidden="1">
      <c r="E724" s="255" t="s">
        <v>226</v>
      </c>
      <c r="L724" s="264">
        <v>16246</v>
      </c>
      <c r="M724" s="264">
        <v>22218</v>
      </c>
      <c r="N724" s="264">
        <v>14397</v>
      </c>
    </row>
    <row r="725" spans="1:14" hidden="1">
      <c r="E725" s="255" t="s">
        <v>283</v>
      </c>
      <c r="L725" s="264">
        <v>1659035</v>
      </c>
      <c r="M725" s="264">
        <v>2919902</v>
      </c>
      <c r="N725" s="264">
        <v>2919902</v>
      </c>
    </row>
    <row r="726" spans="1:14" hidden="1">
      <c r="E726" s="255" t="s">
        <v>322</v>
      </c>
      <c r="L726" s="264">
        <v>79634</v>
      </c>
      <c r="M726" s="264">
        <v>79634</v>
      </c>
      <c r="N726" s="264">
        <v>79634</v>
      </c>
    </row>
    <row r="727" spans="1:14" hidden="1">
      <c r="C727" s="249">
        <v>71</v>
      </c>
      <c r="D727" s="249" t="s">
        <v>387</v>
      </c>
      <c r="E727" s="255" t="s">
        <v>367</v>
      </c>
      <c r="L727" s="264">
        <v>1327</v>
      </c>
      <c r="M727" s="264">
        <v>1327</v>
      </c>
      <c r="N727" s="264">
        <v>1327</v>
      </c>
    </row>
    <row r="728" spans="1:14" ht="30" hidden="1">
      <c r="A728" s="249" t="s">
        <v>363</v>
      </c>
      <c r="B728" s="252" t="s">
        <v>364</v>
      </c>
      <c r="C728" s="249">
        <v>11</v>
      </c>
      <c r="D728" s="249" t="s">
        <v>100</v>
      </c>
      <c r="E728" s="255" t="s">
        <v>84</v>
      </c>
      <c r="L728" s="264">
        <v>4205355.6775752949</v>
      </c>
      <c r="M728" s="264">
        <v>4225329.8541798722</v>
      </c>
      <c r="N728" s="264">
        <v>4245406.3541472722</v>
      </c>
    </row>
    <row r="729" spans="1:14" hidden="1">
      <c r="E729" s="255" t="s">
        <v>226</v>
      </c>
      <c r="L729" s="264">
        <v>147751.24886948141</v>
      </c>
      <c r="M729" s="264">
        <v>148453.02293206617</v>
      </c>
      <c r="N729" s="264">
        <v>149158.39203055386</v>
      </c>
    </row>
    <row r="730" spans="1:14" ht="30" hidden="1">
      <c r="A730" s="249" t="s">
        <v>365</v>
      </c>
      <c r="B730" s="252" t="s">
        <v>366</v>
      </c>
      <c r="C730" s="249">
        <v>11</v>
      </c>
      <c r="D730" s="249" t="s">
        <v>100</v>
      </c>
      <c r="E730" s="255" t="s">
        <v>226</v>
      </c>
      <c r="L730" s="264">
        <v>489370.8576047892</v>
      </c>
      <c r="M730" s="264">
        <v>489370.8576047892</v>
      </c>
      <c r="N730" s="264">
        <v>489370.8576047892</v>
      </c>
    </row>
    <row r="731" spans="1:14" hidden="1">
      <c r="E731" s="255" t="s">
        <v>192</v>
      </c>
      <c r="L731" s="264">
        <v>2702.380235659919</v>
      </c>
      <c r="M731" s="264">
        <v>2702.380235659919</v>
      </c>
      <c r="N731" s="264">
        <v>2702.380235659919</v>
      </c>
    </row>
    <row r="732" spans="1:14" hidden="1">
      <c r="E732" s="255" t="s">
        <v>367</v>
      </c>
      <c r="L732" s="264">
        <v>26308.466411865684</v>
      </c>
      <c r="M732" s="264">
        <v>26308.466411865684</v>
      </c>
      <c r="N732" s="264">
        <v>26308.466411865684</v>
      </c>
    </row>
    <row r="733" spans="1:14" hidden="1">
      <c r="E733" s="255" t="s">
        <v>322</v>
      </c>
      <c r="L733" s="264">
        <v>3497.1979520304835</v>
      </c>
      <c r="M733" s="264">
        <v>3497.1979520304835</v>
      </c>
      <c r="N733" s="264">
        <v>3497.1979520304835</v>
      </c>
    </row>
    <row r="734" spans="1:14" ht="30" hidden="1">
      <c r="A734" s="249" t="s">
        <v>368</v>
      </c>
      <c r="B734" s="252" t="s">
        <v>369</v>
      </c>
      <c r="C734" s="249">
        <v>52</v>
      </c>
      <c r="D734" s="249" t="s">
        <v>69</v>
      </c>
      <c r="E734" s="255" t="s">
        <v>84</v>
      </c>
      <c r="L734" s="264">
        <v>41012</v>
      </c>
      <c r="M734" s="264">
        <v>0</v>
      </c>
      <c r="N734" s="264">
        <v>0</v>
      </c>
    </row>
    <row r="735" spans="1:14" hidden="1">
      <c r="E735" s="255" t="s">
        <v>226</v>
      </c>
      <c r="L735" s="264">
        <v>228282</v>
      </c>
      <c r="M735" s="264">
        <v>0</v>
      </c>
      <c r="N735" s="264">
        <v>0</v>
      </c>
    </row>
    <row r="736" spans="1:14" hidden="1">
      <c r="E736" s="255" t="s">
        <v>367</v>
      </c>
      <c r="L736" s="264">
        <v>32650</v>
      </c>
      <c r="M736" s="264">
        <v>0</v>
      </c>
      <c r="N736" s="264">
        <v>0</v>
      </c>
    </row>
    <row r="737" spans="1:14" ht="30" hidden="1">
      <c r="A737" s="249" t="s">
        <v>370</v>
      </c>
      <c r="B737" s="252" t="s">
        <v>371</v>
      </c>
      <c r="C737" s="249">
        <v>31</v>
      </c>
      <c r="D737" s="249" t="s">
        <v>333</v>
      </c>
      <c r="E737" s="255" t="s">
        <v>84</v>
      </c>
      <c r="L737" s="264">
        <v>51100</v>
      </c>
      <c r="M737" s="264">
        <v>51400</v>
      </c>
      <c r="N737" s="264">
        <v>51450</v>
      </c>
    </row>
    <row r="738" spans="1:14" hidden="1">
      <c r="E738" s="255" t="s">
        <v>226</v>
      </c>
      <c r="L738" s="264">
        <v>183700</v>
      </c>
      <c r="M738" s="264">
        <v>187720</v>
      </c>
      <c r="N738" s="264">
        <v>188350</v>
      </c>
    </row>
    <row r="739" spans="1:14" hidden="1">
      <c r="E739" s="255" t="s">
        <v>192</v>
      </c>
      <c r="L739" s="264">
        <v>500</v>
      </c>
      <c r="M739" s="264">
        <v>550</v>
      </c>
      <c r="N739" s="264">
        <v>550</v>
      </c>
    </row>
    <row r="740" spans="1:14" hidden="1">
      <c r="E740" s="255" t="s">
        <v>367</v>
      </c>
      <c r="L740" s="264">
        <v>27700</v>
      </c>
      <c r="M740" s="264">
        <v>29500</v>
      </c>
      <c r="N740" s="264">
        <v>29100</v>
      </c>
    </row>
    <row r="741" spans="1:14" hidden="1">
      <c r="C741" s="249">
        <v>43</v>
      </c>
      <c r="D741" s="249" t="s">
        <v>104</v>
      </c>
      <c r="E741" s="255" t="s">
        <v>84</v>
      </c>
      <c r="L741" s="264">
        <v>47000</v>
      </c>
      <c r="M741" s="264">
        <v>47900</v>
      </c>
      <c r="N741" s="264">
        <v>48100</v>
      </c>
    </row>
    <row r="742" spans="1:14" hidden="1">
      <c r="E742" s="255" t="s">
        <v>226</v>
      </c>
      <c r="L742" s="264">
        <v>55000</v>
      </c>
      <c r="M742" s="264">
        <v>56650</v>
      </c>
      <c r="N742" s="264">
        <v>56850</v>
      </c>
    </row>
    <row r="743" spans="1:14" hidden="1">
      <c r="E743" s="255" t="s">
        <v>192</v>
      </c>
      <c r="L743" s="264">
        <v>700</v>
      </c>
      <c r="M743" s="264">
        <v>800</v>
      </c>
      <c r="N743" s="264">
        <v>800</v>
      </c>
    </row>
    <row r="744" spans="1:14" hidden="1">
      <c r="C744" s="249">
        <v>52</v>
      </c>
      <c r="D744" s="249" t="s">
        <v>69</v>
      </c>
      <c r="E744" s="255" t="s">
        <v>84</v>
      </c>
      <c r="L744" s="264">
        <v>113448</v>
      </c>
      <c r="M744" s="264">
        <v>111300</v>
      </c>
      <c r="N744" s="264">
        <v>80700</v>
      </c>
    </row>
    <row r="745" spans="1:14" hidden="1">
      <c r="E745" s="255" t="s">
        <v>226</v>
      </c>
      <c r="L745" s="264">
        <v>56000</v>
      </c>
      <c r="M745" s="264">
        <v>45300</v>
      </c>
      <c r="N745" s="264">
        <v>17100</v>
      </c>
    </row>
    <row r="746" spans="1:14" hidden="1">
      <c r="E746" s="255" t="s">
        <v>367</v>
      </c>
      <c r="L746" s="264">
        <v>20700</v>
      </c>
      <c r="M746" s="264">
        <v>7600</v>
      </c>
      <c r="N746" s="264">
        <v>3032</v>
      </c>
    </row>
    <row r="747" spans="1:14" hidden="1">
      <c r="E747" s="255" t="s">
        <v>322</v>
      </c>
      <c r="L747" s="264">
        <v>2500</v>
      </c>
      <c r="M747" s="264">
        <v>1014</v>
      </c>
      <c r="N747" s="264">
        <v>0</v>
      </c>
    </row>
    <row r="748" spans="1:14" hidden="1">
      <c r="C748" s="249">
        <v>61</v>
      </c>
      <c r="D748" s="249" t="s">
        <v>276</v>
      </c>
      <c r="E748" s="255" t="s">
        <v>84</v>
      </c>
      <c r="L748" s="264">
        <v>289216</v>
      </c>
      <c r="M748" s="264">
        <v>0</v>
      </c>
      <c r="N748" s="264">
        <v>0</v>
      </c>
    </row>
    <row r="749" spans="1:14" hidden="1">
      <c r="E749" s="255" t="s">
        <v>226</v>
      </c>
      <c r="L749" s="264">
        <v>127542</v>
      </c>
      <c r="M749" s="264">
        <v>0</v>
      </c>
      <c r="N749" s="264">
        <v>0</v>
      </c>
    </row>
    <row r="750" spans="1:14" hidden="1">
      <c r="E750" s="255" t="s">
        <v>192</v>
      </c>
      <c r="L750" s="264">
        <v>53</v>
      </c>
      <c r="M750" s="264">
        <v>0</v>
      </c>
      <c r="N750" s="264">
        <v>0</v>
      </c>
    </row>
    <row r="751" spans="1:14" hidden="1">
      <c r="E751" s="255" t="s">
        <v>367</v>
      </c>
      <c r="L751" s="264">
        <v>190913</v>
      </c>
      <c r="M751" s="264">
        <v>0</v>
      </c>
      <c r="N751" s="264">
        <v>0</v>
      </c>
    </row>
    <row r="752" spans="1:14" ht="30" hidden="1">
      <c r="A752" s="249" t="s">
        <v>372</v>
      </c>
      <c r="B752" s="252" t="s">
        <v>373</v>
      </c>
      <c r="C752" s="249">
        <v>12</v>
      </c>
      <c r="D752" s="249" t="s">
        <v>102</v>
      </c>
      <c r="E752" s="255" t="s">
        <v>84</v>
      </c>
      <c r="L752" s="264">
        <v>1536</v>
      </c>
      <c r="M752" s="264">
        <v>0</v>
      </c>
      <c r="N752" s="264">
        <v>0</v>
      </c>
    </row>
    <row r="753" spans="1:14" hidden="1">
      <c r="E753" s="255" t="s">
        <v>226</v>
      </c>
      <c r="L753" s="264">
        <v>10966</v>
      </c>
      <c r="M753" s="264">
        <v>0</v>
      </c>
      <c r="N753" s="264">
        <v>0</v>
      </c>
    </row>
    <row r="754" spans="1:14" hidden="1">
      <c r="C754" s="249">
        <v>563</v>
      </c>
      <c r="D754" s="249" t="s">
        <v>374</v>
      </c>
      <c r="E754" s="255" t="s">
        <v>84</v>
      </c>
      <c r="L754" s="264">
        <v>104470</v>
      </c>
      <c r="M754" s="264">
        <v>0</v>
      </c>
      <c r="N754" s="264">
        <v>0</v>
      </c>
    </row>
    <row r="755" spans="1:14" hidden="1">
      <c r="E755" s="255" t="s">
        <v>226</v>
      </c>
      <c r="L755" s="264">
        <v>303211</v>
      </c>
      <c r="M755" s="264">
        <v>0</v>
      </c>
      <c r="N755" s="264">
        <v>0</v>
      </c>
    </row>
    <row r="756" spans="1:14" hidden="1">
      <c r="E756" s="255" t="s">
        <v>367</v>
      </c>
      <c r="L756" s="264">
        <v>588</v>
      </c>
      <c r="M756" s="264">
        <v>0</v>
      </c>
      <c r="N756" s="264">
        <v>0</v>
      </c>
    </row>
    <row r="757" spans="1:14" ht="45" hidden="1">
      <c r="A757" s="249" t="s">
        <v>375</v>
      </c>
      <c r="B757" s="252" t="s">
        <v>376</v>
      </c>
      <c r="C757" s="249">
        <v>576</v>
      </c>
      <c r="D757" s="249" t="s">
        <v>395</v>
      </c>
      <c r="E757" s="255" t="s">
        <v>226</v>
      </c>
      <c r="L757" s="264"/>
      <c r="M757" s="264"/>
      <c r="N757" s="264">
        <v>0</v>
      </c>
    </row>
    <row r="758" spans="1:14" hidden="1">
      <c r="E758" s="255" t="s">
        <v>322</v>
      </c>
      <c r="L758" s="264"/>
      <c r="M758" s="264"/>
      <c r="N758" s="264">
        <v>0</v>
      </c>
    </row>
    <row r="759" spans="1:14" ht="45" hidden="1">
      <c r="A759" s="249" t="s">
        <v>378</v>
      </c>
      <c r="B759" s="252" t="s">
        <v>379</v>
      </c>
      <c r="C759" s="249">
        <v>581</v>
      </c>
      <c r="D759" s="249" t="s">
        <v>380</v>
      </c>
      <c r="E759" s="255" t="s">
        <v>226</v>
      </c>
      <c r="L759" s="264">
        <v>90877.564324921172</v>
      </c>
      <c r="M759" s="264">
        <v>164205</v>
      </c>
      <c r="N759" s="264">
        <v>0</v>
      </c>
    </row>
    <row r="760" spans="1:14" hidden="1">
      <c r="E760" s="255" t="s">
        <v>322</v>
      </c>
      <c r="L760" s="264">
        <v>1189841.1414069848</v>
      </c>
      <c r="M760" s="264">
        <v>2960189</v>
      </c>
      <c r="N760" s="264">
        <v>0</v>
      </c>
    </row>
    <row r="761" spans="1:14" ht="30" hidden="1">
      <c r="A761" s="249" t="s">
        <v>363</v>
      </c>
      <c r="B761" s="252" t="s">
        <v>364</v>
      </c>
      <c r="C761" s="249">
        <v>11</v>
      </c>
      <c r="D761" s="249" t="s">
        <v>100</v>
      </c>
      <c r="E761" s="255" t="s">
        <v>84</v>
      </c>
      <c r="L761" s="264">
        <v>9674295.2632907648</v>
      </c>
      <c r="M761" s="264">
        <v>9720245.2606106587</v>
      </c>
      <c r="N761" s="264">
        <v>9766430.6497737616</v>
      </c>
    </row>
    <row r="762" spans="1:14" hidden="1">
      <c r="E762" s="255" t="s">
        <v>226</v>
      </c>
      <c r="L762" s="264">
        <v>283068.05842998612</v>
      </c>
      <c r="M762" s="264">
        <v>284412.5467024871</v>
      </c>
      <c r="N762" s="264">
        <v>285763.92249601288</v>
      </c>
    </row>
    <row r="763" spans="1:14" hidden="1">
      <c r="A763" s="249" t="s">
        <v>383</v>
      </c>
      <c r="B763" s="252" t="s">
        <v>384</v>
      </c>
      <c r="C763" s="249">
        <v>11</v>
      </c>
      <c r="D763" s="249" t="s">
        <v>100</v>
      </c>
      <c r="E763" s="255" t="s">
        <v>84</v>
      </c>
      <c r="L763" s="264">
        <v>37581.707345999996</v>
      </c>
      <c r="M763" s="264">
        <v>37581.707345999996</v>
      </c>
      <c r="N763" s="264">
        <v>37581.707345999996</v>
      </c>
    </row>
    <row r="764" spans="1:14" hidden="1">
      <c r="E764" s="255" t="s">
        <v>226</v>
      </c>
      <c r="L764" s="264">
        <v>1294.6652707999999</v>
      </c>
      <c r="M764" s="264">
        <v>1294.6652707999999</v>
      </c>
      <c r="N764" s="264">
        <v>1294.6652707999999</v>
      </c>
    </row>
    <row r="765" spans="1:14" hidden="1">
      <c r="E765" s="255" t="s">
        <v>192</v>
      </c>
      <c r="L765" s="264">
        <v>16911.9308704</v>
      </c>
      <c r="M765" s="264">
        <v>16911.9308704</v>
      </c>
      <c r="N765" s="264">
        <v>16911.9308704</v>
      </c>
    </row>
    <row r="766" spans="1:14" ht="30" hidden="1">
      <c r="A766" s="249" t="s">
        <v>365</v>
      </c>
      <c r="B766" s="252" t="s">
        <v>366</v>
      </c>
      <c r="C766" s="249">
        <v>11</v>
      </c>
      <c r="D766" s="249" t="s">
        <v>100</v>
      </c>
      <c r="E766" s="255" t="s">
        <v>226</v>
      </c>
      <c r="L766" s="264">
        <v>503058.99133357522</v>
      </c>
      <c r="M766" s="264">
        <v>503058.99133357522</v>
      </c>
      <c r="N766" s="264">
        <v>503058.99133357522</v>
      </c>
    </row>
    <row r="767" spans="1:14" hidden="1">
      <c r="E767" s="255" t="s">
        <v>192</v>
      </c>
      <c r="L767" s="264">
        <v>10061.344942695836</v>
      </c>
      <c r="M767" s="264">
        <v>10061.344942695836</v>
      </c>
      <c r="N767" s="264">
        <v>10061.344942695836</v>
      </c>
    </row>
    <row r="768" spans="1:14" hidden="1">
      <c r="E768" s="255" t="s">
        <v>367</v>
      </c>
      <c r="L768" s="264">
        <v>17488.26371716796</v>
      </c>
      <c r="M768" s="264">
        <v>17488.26371716796</v>
      </c>
      <c r="N768" s="264">
        <v>17488.26371716796</v>
      </c>
    </row>
    <row r="769" spans="1:14" ht="30" hidden="1">
      <c r="A769" s="249" t="s">
        <v>368</v>
      </c>
      <c r="B769" s="252" t="s">
        <v>369</v>
      </c>
      <c r="C769" s="249">
        <v>51</v>
      </c>
      <c r="D769" s="249" t="s">
        <v>109</v>
      </c>
      <c r="E769" s="255" t="s">
        <v>84</v>
      </c>
      <c r="L769" s="264">
        <v>94680</v>
      </c>
      <c r="M769" s="264">
        <v>94680</v>
      </c>
      <c r="N769" s="264">
        <v>74771</v>
      </c>
    </row>
    <row r="770" spans="1:14" hidden="1">
      <c r="E770" s="255" t="s">
        <v>226</v>
      </c>
      <c r="L770" s="264">
        <v>80512</v>
      </c>
      <c r="M770" s="264">
        <v>78070</v>
      </c>
      <c r="N770" s="264">
        <v>44239</v>
      </c>
    </row>
    <row r="771" spans="1:14" hidden="1">
      <c r="E771" s="255" t="s">
        <v>367</v>
      </c>
      <c r="L771" s="264">
        <v>35504</v>
      </c>
      <c r="M771" s="264">
        <v>17922</v>
      </c>
      <c r="N771" s="264">
        <v>1000</v>
      </c>
    </row>
    <row r="772" spans="1:14" hidden="1">
      <c r="C772" s="249">
        <v>52</v>
      </c>
      <c r="D772" s="249" t="s">
        <v>69</v>
      </c>
      <c r="E772" s="255" t="s">
        <v>84</v>
      </c>
      <c r="L772" s="264">
        <v>31994</v>
      </c>
      <c r="M772" s="264">
        <v>3981</v>
      </c>
      <c r="N772" s="264">
        <v>2654</v>
      </c>
    </row>
    <row r="773" spans="1:14" hidden="1">
      <c r="E773" s="255" t="s">
        <v>226</v>
      </c>
      <c r="L773" s="264">
        <v>96279</v>
      </c>
      <c r="M773" s="264">
        <v>35869</v>
      </c>
      <c r="N773" s="264">
        <v>17016</v>
      </c>
    </row>
    <row r="774" spans="1:14" hidden="1">
      <c r="E774" s="255" t="s">
        <v>192</v>
      </c>
      <c r="L774" s="264">
        <v>664</v>
      </c>
      <c r="M774" s="264"/>
      <c r="N774" s="264"/>
    </row>
    <row r="775" spans="1:14" hidden="1">
      <c r="E775" s="255" t="s">
        <v>367</v>
      </c>
      <c r="L775" s="264">
        <v>7565</v>
      </c>
      <c r="M775" s="264">
        <v>398</v>
      </c>
      <c r="N775" s="264">
        <v>2389</v>
      </c>
    </row>
    <row r="776" spans="1:14" hidden="1">
      <c r="E776" s="255" t="s">
        <v>322</v>
      </c>
      <c r="L776" s="264">
        <v>108833</v>
      </c>
      <c r="M776" s="264">
        <v>6636</v>
      </c>
      <c r="N776" s="264"/>
    </row>
    <row r="777" spans="1:14" ht="30" hidden="1">
      <c r="A777" s="249" t="s">
        <v>370</v>
      </c>
      <c r="B777" s="252" t="s">
        <v>371</v>
      </c>
      <c r="C777" s="249">
        <v>31</v>
      </c>
      <c r="D777" s="249" t="s">
        <v>333</v>
      </c>
      <c r="E777" s="255" t="s">
        <v>84</v>
      </c>
      <c r="L777" s="264">
        <v>795439</v>
      </c>
      <c r="M777" s="264">
        <v>820096</v>
      </c>
      <c r="N777" s="264">
        <v>820096</v>
      </c>
    </row>
    <row r="778" spans="1:14" hidden="1">
      <c r="E778" s="255" t="s">
        <v>226</v>
      </c>
      <c r="L778" s="264">
        <v>1459186</v>
      </c>
      <c r="M778" s="264">
        <v>1504423</v>
      </c>
      <c r="N778" s="264">
        <v>1504423</v>
      </c>
    </row>
    <row r="779" spans="1:14" hidden="1">
      <c r="E779" s="255" t="s">
        <v>192</v>
      </c>
      <c r="L779" s="264">
        <v>68455</v>
      </c>
      <c r="M779" s="264">
        <v>70577</v>
      </c>
      <c r="N779" s="264">
        <v>70577</v>
      </c>
    </row>
    <row r="780" spans="1:14" hidden="1">
      <c r="E780" s="255" t="s">
        <v>283</v>
      </c>
      <c r="L780" s="264">
        <v>1864</v>
      </c>
      <c r="M780" s="264">
        <v>1922</v>
      </c>
      <c r="N780" s="264">
        <v>1922</v>
      </c>
    </row>
    <row r="781" spans="1:14" hidden="1">
      <c r="E781" s="255" t="s">
        <v>367</v>
      </c>
      <c r="L781" s="264">
        <v>140083</v>
      </c>
      <c r="M781" s="264">
        <v>144426</v>
      </c>
      <c r="N781" s="264">
        <v>144426</v>
      </c>
    </row>
    <row r="782" spans="1:14" hidden="1">
      <c r="E782" s="255" t="s">
        <v>322</v>
      </c>
      <c r="L782" s="264">
        <v>175251</v>
      </c>
      <c r="M782" s="264">
        <v>180683</v>
      </c>
      <c r="N782" s="264">
        <v>180683</v>
      </c>
    </row>
    <row r="783" spans="1:14" hidden="1">
      <c r="E783" s="255" t="s">
        <v>396</v>
      </c>
      <c r="L783" s="264">
        <v>30385</v>
      </c>
      <c r="M783" s="264">
        <v>31416</v>
      </c>
      <c r="N783" s="264">
        <v>32615</v>
      </c>
    </row>
    <row r="784" spans="1:14" hidden="1">
      <c r="C784" s="249">
        <v>43</v>
      </c>
      <c r="D784" s="249" t="s">
        <v>104</v>
      </c>
      <c r="E784" s="255" t="s">
        <v>84</v>
      </c>
      <c r="L784" s="264">
        <v>1122400</v>
      </c>
      <c r="M784" s="264">
        <v>1157194</v>
      </c>
      <c r="N784" s="264">
        <v>1157194</v>
      </c>
    </row>
    <row r="785" spans="1:14" hidden="1">
      <c r="E785" s="255" t="s">
        <v>226</v>
      </c>
      <c r="L785" s="264">
        <v>234643</v>
      </c>
      <c r="M785" s="264">
        <v>241917</v>
      </c>
      <c r="N785" s="264">
        <v>241917</v>
      </c>
    </row>
    <row r="786" spans="1:14" hidden="1">
      <c r="E786" s="255" t="s">
        <v>192</v>
      </c>
      <c r="L786" s="264">
        <v>962</v>
      </c>
      <c r="M786" s="264">
        <v>992</v>
      </c>
      <c r="N786" s="264">
        <v>992</v>
      </c>
    </row>
    <row r="787" spans="1:14" hidden="1">
      <c r="E787" s="255" t="s">
        <v>215</v>
      </c>
      <c r="L787" s="264">
        <v>2340</v>
      </c>
      <c r="M787" s="264">
        <v>2412</v>
      </c>
      <c r="N787" s="264">
        <v>2412</v>
      </c>
    </row>
    <row r="788" spans="1:14" hidden="1">
      <c r="E788" s="255" t="s">
        <v>367</v>
      </c>
      <c r="L788" s="264">
        <v>3476</v>
      </c>
      <c r="M788" s="264">
        <v>199030</v>
      </c>
      <c r="N788" s="264">
        <v>199030</v>
      </c>
    </row>
    <row r="789" spans="1:14" hidden="1">
      <c r="E789" s="255" t="s">
        <v>322</v>
      </c>
      <c r="L789" s="264"/>
      <c r="M789" s="264">
        <v>293167</v>
      </c>
      <c r="N789" s="264">
        <v>293167</v>
      </c>
    </row>
    <row r="790" spans="1:14" hidden="1">
      <c r="E790" s="255" t="s">
        <v>396</v>
      </c>
      <c r="L790" s="264">
        <v>530891</v>
      </c>
      <c r="M790" s="264"/>
      <c r="N790" s="264"/>
    </row>
    <row r="791" spans="1:14" hidden="1">
      <c r="C791" s="249">
        <v>52</v>
      </c>
      <c r="D791" s="249" t="s">
        <v>69</v>
      </c>
      <c r="E791" s="255" t="s">
        <v>84</v>
      </c>
      <c r="L791" s="264">
        <v>50107</v>
      </c>
      <c r="M791" s="264">
        <v>25162</v>
      </c>
      <c r="N791" s="264"/>
    </row>
    <row r="792" spans="1:14" hidden="1">
      <c r="E792" s="255" t="s">
        <v>226</v>
      </c>
      <c r="L792" s="264">
        <v>404209</v>
      </c>
      <c r="M792" s="264">
        <v>398781</v>
      </c>
      <c r="N792" s="264">
        <v>398738</v>
      </c>
    </row>
    <row r="793" spans="1:14" hidden="1">
      <c r="E793" s="255" t="s">
        <v>367</v>
      </c>
      <c r="L793" s="264">
        <v>47914</v>
      </c>
      <c r="M793" s="264">
        <v>52426</v>
      </c>
      <c r="N793" s="264">
        <v>43799</v>
      </c>
    </row>
    <row r="794" spans="1:14" hidden="1">
      <c r="C794" s="249">
        <v>61</v>
      </c>
      <c r="D794" s="249" t="s">
        <v>276</v>
      </c>
      <c r="E794" s="255" t="s">
        <v>226</v>
      </c>
      <c r="L794" s="264">
        <v>58543</v>
      </c>
      <c r="M794" s="264">
        <v>6654</v>
      </c>
      <c r="N794" s="264">
        <v>6654</v>
      </c>
    </row>
    <row r="795" spans="1:14" hidden="1">
      <c r="E795" s="255" t="s">
        <v>367</v>
      </c>
      <c r="L795" s="264">
        <v>123990</v>
      </c>
      <c r="M795" s="264">
        <v>18364</v>
      </c>
      <c r="N795" s="264">
        <v>18364</v>
      </c>
    </row>
    <row r="796" spans="1:14" hidden="1">
      <c r="C796" s="249">
        <v>71</v>
      </c>
      <c r="D796" s="249" t="s">
        <v>387</v>
      </c>
      <c r="E796" s="255" t="s">
        <v>226</v>
      </c>
      <c r="L796" s="264">
        <v>753</v>
      </c>
      <c r="M796" s="264">
        <v>777</v>
      </c>
      <c r="N796" s="264">
        <v>777</v>
      </c>
    </row>
    <row r="797" spans="1:14" ht="30" hidden="1">
      <c r="A797" s="249" t="s">
        <v>372</v>
      </c>
      <c r="B797" s="252" t="s">
        <v>373</v>
      </c>
      <c r="C797" s="249">
        <v>563</v>
      </c>
      <c r="D797" s="249" t="s">
        <v>374</v>
      </c>
      <c r="E797" s="255" t="s">
        <v>84</v>
      </c>
      <c r="L797" s="264">
        <v>30925</v>
      </c>
      <c r="M797" s="264"/>
      <c r="N797" s="264"/>
    </row>
    <row r="798" spans="1:14" hidden="1">
      <c r="E798" s="255" t="s">
        <v>226</v>
      </c>
      <c r="L798" s="264">
        <v>18381</v>
      </c>
      <c r="M798" s="264"/>
      <c r="N798" s="264"/>
    </row>
    <row r="799" spans="1:14" hidden="1">
      <c r="E799" s="255" t="s">
        <v>204</v>
      </c>
      <c r="L799" s="264">
        <v>26544</v>
      </c>
      <c r="M799" s="264"/>
      <c r="N799" s="264"/>
    </row>
    <row r="800" spans="1:14" hidden="1">
      <c r="E800" s="255" t="s">
        <v>367</v>
      </c>
      <c r="L800" s="264">
        <v>29199</v>
      </c>
      <c r="M800" s="264"/>
      <c r="N800" s="264"/>
    </row>
    <row r="801" spans="1:14" hidden="1">
      <c r="E801" s="255" t="s">
        <v>322</v>
      </c>
      <c r="L801" s="264">
        <v>7300</v>
      </c>
      <c r="M801" s="264"/>
      <c r="N801" s="264"/>
    </row>
    <row r="802" spans="1:14" ht="30" hidden="1">
      <c r="A802" s="249" t="s">
        <v>388</v>
      </c>
      <c r="B802" s="252" t="s">
        <v>389</v>
      </c>
      <c r="C802" s="249">
        <v>12</v>
      </c>
      <c r="D802" s="249" t="s">
        <v>102</v>
      </c>
      <c r="E802" s="255" t="s">
        <v>226</v>
      </c>
      <c r="L802" s="264">
        <v>17151.207926354873</v>
      </c>
      <c r="M802" s="264"/>
      <c r="N802" s="264"/>
    </row>
    <row r="803" spans="1:14" hidden="1">
      <c r="E803" s="255" t="s">
        <v>367</v>
      </c>
      <c r="L803" s="264">
        <v>12277.551443897644</v>
      </c>
      <c r="M803" s="264"/>
      <c r="N803" s="264"/>
    </row>
    <row r="804" spans="1:14" hidden="1">
      <c r="C804" s="249">
        <v>561</v>
      </c>
      <c r="D804" s="249" t="s">
        <v>390</v>
      </c>
      <c r="E804" s="255" t="s">
        <v>226</v>
      </c>
      <c r="L804" s="264">
        <v>97193.153014709227</v>
      </c>
      <c r="M804" s="264"/>
      <c r="N804" s="264"/>
    </row>
    <row r="805" spans="1:14" hidden="1">
      <c r="E805" s="255" t="s">
        <v>367</v>
      </c>
      <c r="L805" s="264">
        <v>69569.816750055077</v>
      </c>
      <c r="M805" s="264"/>
      <c r="N805" s="264"/>
    </row>
    <row r="806" spans="1:14" ht="45" hidden="1">
      <c r="A806" s="249" t="s">
        <v>375</v>
      </c>
      <c r="B806" s="252" t="s">
        <v>376</v>
      </c>
      <c r="C806" s="249">
        <v>5761</v>
      </c>
      <c r="D806" s="249" t="s">
        <v>377</v>
      </c>
      <c r="E806" s="255" t="s">
        <v>322</v>
      </c>
      <c r="L806" s="264">
        <v>527195.94029834517</v>
      </c>
      <c r="M806" s="264"/>
      <c r="N806" s="264"/>
    </row>
    <row r="807" spans="1:14" ht="30" hidden="1">
      <c r="A807" s="249" t="s">
        <v>363</v>
      </c>
      <c r="B807" s="252" t="s">
        <v>364</v>
      </c>
      <c r="C807" s="249">
        <v>11</v>
      </c>
      <c r="D807" s="249" t="s">
        <v>100</v>
      </c>
      <c r="E807" s="255" t="s">
        <v>84</v>
      </c>
      <c r="L807" s="264">
        <v>4733924.3566216677</v>
      </c>
      <c r="M807" s="264">
        <v>4756409.0757230949</v>
      </c>
      <c r="N807" s="264">
        <v>4779008.97915057</v>
      </c>
    </row>
    <row r="808" spans="1:14" hidden="1">
      <c r="E808" s="255" t="s">
        <v>226</v>
      </c>
      <c r="L808" s="264">
        <v>113499.57782343587</v>
      </c>
      <c r="M808" s="264">
        <v>114038.66673429284</v>
      </c>
      <c r="N808" s="264">
        <v>114580.51728040075</v>
      </c>
    </row>
    <row r="809" spans="1:14" ht="30" hidden="1">
      <c r="A809" s="249" t="s">
        <v>365</v>
      </c>
      <c r="B809" s="252" t="s">
        <v>366</v>
      </c>
      <c r="C809" s="249">
        <v>11</v>
      </c>
      <c r="D809" s="249" t="s">
        <v>100</v>
      </c>
      <c r="E809" s="255" t="s">
        <v>226</v>
      </c>
      <c r="L809" s="264">
        <v>260457.72435165857</v>
      </c>
      <c r="M809" s="264">
        <v>260457.72435165857</v>
      </c>
      <c r="N809" s="264">
        <v>260457.72435165857</v>
      </c>
    </row>
    <row r="810" spans="1:14" hidden="1">
      <c r="E810" s="255" t="s">
        <v>192</v>
      </c>
      <c r="L810" s="264"/>
      <c r="M810" s="264"/>
      <c r="N810" s="264"/>
    </row>
    <row r="811" spans="1:14" ht="30" hidden="1">
      <c r="A811" s="249" t="s">
        <v>368</v>
      </c>
      <c r="B811" s="252" t="s">
        <v>369</v>
      </c>
      <c r="C811" s="249">
        <v>51</v>
      </c>
      <c r="D811" s="249" t="s">
        <v>109</v>
      </c>
      <c r="E811" s="255" t="s">
        <v>84</v>
      </c>
      <c r="L811" s="264">
        <v>373407</v>
      </c>
      <c r="M811" s="264">
        <v>241986</v>
      </c>
      <c r="N811" s="264">
        <v>74715</v>
      </c>
    </row>
    <row r="812" spans="1:14" hidden="1">
      <c r="E812" s="255" t="s">
        <v>226</v>
      </c>
      <c r="L812" s="264">
        <v>164441</v>
      </c>
      <c r="M812" s="264">
        <v>114411</v>
      </c>
      <c r="N812" s="264">
        <v>22780</v>
      </c>
    </row>
    <row r="813" spans="1:14" hidden="1">
      <c r="E813" s="255" t="s">
        <v>192</v>
      </c>
      <c r="L813" s="264">
        <v>860</v>
      </c>
      <c r="M813" s="264">
        <v>0</v>
      </c>
      <c r="N813" s="264">
        <v>0</v>
      </c>
    </row>
    <row r="814" spans="1:14" hidden="1">
      <c r="E814" s="255" t="s">
        <v>204</v>
      </c>
      <c r="L814" s="264">
        <v>17250</v>
      </c>
      <c r="M814" s="264">
        <v>12800</v>
      </c>
      <c r="N814" s="264">
        <v>0</v>
      </c>
    </row>
    <row r="815" spans="1:14" hidden="1">
      <c r="E815" s="255" t="s">
        <v>209</v>
      </c>
      <c r="L815" s="264">
        <v>49350</v>
      </c>
      <c r="M815" s="264">
        <v>60000</v>
      </c>
      <c r="N815" s="264">
        <v>0</v>
      </c>
    </row>
    <row r="816" spans="1:14" hidden="1">
      <c r="E816" s="255" t="s">
        <v>283</v>
      </c>
      <c r="L816" s="264">
        <v>720</v>
      </c>
      <c r="M816" s="264">
        <v>350</v>
      </c>
      <c r="N816" s="264">
        <v>0</v>
      </c>
    </row>
    <row r="817" spans="1:14" hidden="1">
      <c r="E817" s="255" t="s">
        <v>367</v>
      </c>
      <c r="L817" s="264">
        <v>24720</v>
      </c>
      <c r="M817" s="264">
        <v>5000</v>
      </c>
      <c r="N817" s="264">
        <v>2000</v>
      </c>
    </row>
    <row r="818" spans="1:14" hidden="1">
      <c r="C818" s="249">
        <v>52</v>
      </c>
      <c r="D818" s="249" t="s">
        <v>69</v>
      </c>
      <c r="E818" s="255" t="s">
        <v>84</v>
      </c>
      <c r="L818" s="264">
        <v>24628</v>
      </c>
      <c r="M818" s="264">
        <v>350</v>
      </c>
      <c r="N818" s="264">
        <v>170</v>
      </c>
    </row>
    <row r="819" spans="1:14" hidden="1">
      <c r="E819" s="255" t="s">
        <v>226</v>
      </c>
      <c r="L819" s="264">
        <v>20425</v>
      </c>
      <c r="M819" s="264">
        <v>400</v>
      </c>
      <c r="N819" s="264">
        <v>600</v>
      </c>
    </row>
    <row r="820" spans="1:14" hidden="1">
      <c r="E820" s="255" t="s">
        <v>192</v>
      </c>
      <c r="L820" s="264">
        <v>30</v>
      </c>
      <c r="M820" s="264">
        <v>0</v>
      </c>
      <c r="N820" s="264">
        <v>0</v>
      </c>
    </row>
    <row r="821" spans="1:14" hidden="1">
      <c r="E821" s="255" t="s">
        <v>204</v>
      </c>
      <c r="L821" s="264">
        <v>26442</v>
      </c>
      <c r="M821" s="264">
        <v>0</v>
      </c>
      <c r="N821" s="264"/>
    </row>
    <row r="822" spans="1:14" hidden="1">
      <c r="E822" s="255" t="s">
        <v>367</v>
      </c>
      <c r="L822" s="264">
        <v>100</v>
      </c>
      <c r="M822" s="264">
        <v>0</v>
      </c>
      <c r="N822" s="264">
        <v>0</v>
      </c>
    </row>
    <row r="823" spans="1:14" ht="30" hidden="1">
      <c r="A823" s="249" t="s">
        <v>370</v>
      </c>
      <c r="B823" s="252" t="s">
        <v>371</v>
      </c>
      <c r="C823" s="249">
        <v>31</v>
      </c>
      <c r="D823" s="249" t="s">
        <v>333</v>
      </c>
      <c r="E823" s="255" t="s">
        <v>84</v>
      </c>
      <c r="L823" s="264">
        <v>150000</v>
      </c>
      <c r="M823" s="264">
        <v>145000</v>
      </c>
      <c r="N823" s="264">
        <v>145000</v>
      </c>
    </row>
    <row r="824" spans="1:14" hidden="1">
      <c r="E824" s="255" t="s">
        <v>226</v>
      </c>
      <c r="L824" s="264">
        <v>1554000</v>
      </c>
      <c r="M824" s="264">
        <v>1700000</v>
      </c>
      <c r="N824" s="264">
        <v>1700000</v>
      </c>
    </row>
    <row r="825" spans="1:14" hidden="1">
      <c r="E825" s="255" t="s">
        <v>192</v>
      </c>
      <c r="L825" s="264">
        <v>10100</v>
      </c>
      <c r="M825" s="264">
        <v>7300</v>
      </c>
      <c r="N825" s="264">
        <v>7300</v>
      </c>
    </row>
    <row r="826" spans="1:14" hidden="1">
      <c r="E826" s="255" t="s">
        <v>209</v>
      </c>
      <c r="L826" s="264">
        <v>5000</v>
      </c>
      <c r="M826" s="264">
        <v>5000</v>
      </c>
      <c r="N826" s="264">
        <v>5000</v>
      </c>
    </row>
    <row r="827" spans="1:14" hidden="1">
      <c r="E827" s="255" t="s">
        <v>283</v>
      </c>
      <c r="L827" s="264">
        <v>18000</v>
      </c>
      <c r="M827" s="264">
        <v>15000</v>
      </c>
      <c r="N827" s="264">
        <v>15000</v>
      </c>
    </row>
    <row r="828" spans="1:14" hidden="1">
      <c r="E828" s="255" t="s">
        <v>367</v>
      </c>
      <c r="L828" s="264">
        <v>312000</v>
      </c>
      <c r="M828" s="264">
        <v>121000</v>
      </c>
      <c r="N828" s="264">
        <v>101000</v>
      </c>
    </row>
    <row r="829" spans="1:14" hidden="1">
      <c r="E829" s="255" t="s">
        <v>322</v>
      </c>
      <c r="L829" s="264">
        <v>12000</v>
      </c>
      <c r="M829" s="264">
        <v>4000</v>
      </c>
      <c r="N829" s="264">
        <v>4000</v>
      </c>
    </row>
    <row r="830" spans="1:14" hidden="1">
      <c r="C830" s="249">
        <v>43</v>
      </c>
      <c r="D830" s="249" t="s">
        <v>104</v>
      </c>
      <c r="E830" s="255" t="s">
        <v>84</v>
      </c>
      <c r="L830" s="264">
        <v>9420</v>
      </c>
      <c r="M830" s="264">
        <v>9420</v>
      </c>
      <c r="N830" s="264">
        <v>9420</v>
      </c>
    </row>
    <row r="831" spans="1:14" hidden="1">
      <c r="E831" s="255" t="s">
        <v>226</v>
      </c>
      <c r="L831" s="264">
        <v>302550</v>
      </c>
      <c r="M831" s="264">
        <v>302550</v>
      </c>
      <c r="N831" s="264">
        <v>302550</v>
      </c>
    </row>
    <row r="832" spans="1:14" hidden="1">
      <c r="E832" s="255" t="s">
        <v>192</v>
      </c>
      <c r="L832" s="264">
        <v>210</v>
      </c>
      <c r="M832" s="264">
        <v>210</v>
      </c>
      <c r="N832" s="264">
        <v>210</v>
      </c>
    </row>
    <row r="833" spans="1:14" hidden="1">
      <c r="E833" s="255" t="s">
        <v>209</v>
      </c>
      <c r="L833" s="264">
        <v>1500</v>
      </c>
      <c r="M833" s="264">
        <v>1500</v>
      </c>
      <c r="N833" s="264">
        <v>1500</v>
      </c>
    </row>
    <row r="834" spans="1:14" hidden="1">
      <c r="E834" s="255" t="s">
        <v>283</v>
      </c>
      <c r="L834" s="264">
        <v>100</v>
      </c>
      <c r="M834" s="264">
        <v>100</v>
      </c>
      <c r="N834" s="264">
        <v>100</v>
      </c>
    </row>
    <row r="835" spans="1:14" hidden="1">
      <c r="E835" s="255" t="s">
        <v>367</v>
      </c>
      <c r="L835" s="264">
        <v>13550</v>
      </c>
      <c r="M835" s="264">
        <v>13550</v>
      </c>
      <c r="N835" s="264">
        <v>13550</v>
      </c>
    </row>
    <row r="836" spans="1:14" hidden="1">
      <c r="E836" s="255" t="s">
        <v>322</v>
      </c>
      <c r="L836" s="264">
        <v>200</v>
      </c>
      <c r="M836" s="264">
        <v>200</v>
      </c>
      <c r="N836" s="264">
        <v>200</v>
      </c>
    </row>
    <row r="837" spans="1:14" hidden="1">
      <c r="C837" s="249">
        <v>52</v>
      </c>
      <c r="D837" s="249" t="s">
        <v>69</v>
      </c>
      <c r="E837" s="255" t="s">
        <v>84</v>
      </c>
      <c r="L837" s="264">
        <v>38000</v>
      </c>
      <c r="M837" s="264">
        <v>38000</v>
      </c>
      <c r="N837" s="264"/>
    </row>
    <row r="838" spans="1:14" hidden="1">
      <c r="E838" s="255" t="s">
        <v>226</v>
      </c>
      <c r="L838" s="264">
        <v>41440</v>
      </c>
      <c r="M838" s="264">
        <v>33085</v>
      </c>
      <c r="N838" s="264"/>
    </row>
    <row r="839" spans="1:14" hidden="1">
      <c r="E839" s="255" t="s">
        <v>192</v>
      </c>
      <c r="L839" s="264">
        <v>200</v>
      </c>
      <c r="M839" s="264">
        <v>200</v>
      </c>
      <c r="N839" s="264"/>
    </row>
    <row r="840" spans="1:14" hidden="1">
      <c r="E840" s="255" t="s">
        <v>209</v>
      </c>
      <c r="L840" s="264">
        <v>1000</v>
      </c>
      <c r="M840" s="264">
        <v>1000</v>
      </c>
      <c r="N840" s="264"/>
    </row>
    <row r="841" spans="1:14" hidden="1">
      <c r="E841" s="255" t="s">
        <v>367</v>
      </c>
      <c r="L841" s="264">
        <v>5000</v>
      </c>
      <c r="M841" s="264">
        <v>5000</v>
      </c>
      <c r="N841" s="264"/>
    </row>
    <row r="842" spans="1:14" hidden="1">
      <c r="C842" s="249">
        <v>61</v>
      </c>
      <c r="D842" s="249" t="s">
        <v>276</v>
      </c>
      <c r="E842" s="255" t="s">
        <v>226</v>
      </c>
      <c r="L842" s="264">
        <v>2000</v>
      </c>
      <c r="M842" s="264">
        <v>2000</v>
      </c>
      <c r="N842" s="264">
        <v>2000</v>
      </c>
    </row>
    <row r="843" spans="1:14" hidden="1">
      <c r="C843" s="249">
        <v>71</v>
      </c>
      <c r="D843" s="249" t="s">
        <v>387</v>
      </c>
      <c r="E843" s="255" t="s">
        <v>322</v>
      </c>
      <c r="L843" s="264">
        <v>1000</v>
      </c>
      <c r="M843" s="264">
        <v>1000</v>
      </c>
      <c r="N843" s="264">
        <v>1000</v>
      </c>
    </row>
    <row r="844" spans="1:14" ht="45" hidden="1">
      <c r="A844" s="249" t="s">
        <v>399</v>
      </c>
      <c r="B844" s="252" t="s">
        <v>400</v>
      </c>
      <c r="C844" s="249">
        <v>11</v>
      </c>
      <c r="D844" s="249" t="s">
        <v>100</v>
      </c>
      <c r="E844" s="255" t="s">
        <v>226</v>
      </c>
      <c r="L844" s="264">
        <v>39816</v>
      </c>
      <c r="M844" s="264">
        <v>39816</v>
      </c>
      <c r="N844" s="264">
        <v>39816</v>
      </c>
    </row>
    <row r="845" spans="1:14" ht="30" hidden="1">
      <c r="A845" s="249" t="s">
        <v>388</v>
      </c>
      <c r="B845" s="252" t="s">
        <v>389</v>
      </c>
      <c r="C845" s="249">
        <v>12</v>
      </c>
      <c r="D845" s="249" t="s">
        <v>102</v>
      </c>
      <c r="E845" s="255" t="s">
        <v>84</v>
      </c>
      <c r="L845" s="264">
        <v>32555.868910659312</v>
      </c>
      <c r="M845" s="264"/>
      <c r="N845" s="264"/>
    </row>
    <row r="846" spans="1:14" hidden="1">
      <c r="E846" s="255" t="s">
        <v>226</v>
      </c>
      <c r="L846" s="264">
        <v>713.94449365480943</v>
      </c>
      <c r="M846" s="264"/>
      <c r="N846" s="264"/>
    </row>
    <row r="847" spans="1:14" hidden="1">
      <c r="E847" s="255" t="s">
        <v>215</v>
      </c>
      <c r="L847" s="264">
        <v>892.43061706851176</v>
      </c>
      <c r="M847" s="264"/>
      <c r="N847" s="264"/>
    </row>
    <row r="848" spans="1:14" hidden="1">
      <c r="C848" s="249">
        <v>561</v>
      </c>
      <c r="D848" s="249" t="s">
        <v>390</v>
      </c>
      <c r="E848" s="255" t="s">
        <v>84</v>
      </c>
      <c r="L848" s="264">
        <v>184483.25531557022</v>
      </c>
      <c r="M848" s="264">
        <v>0</v>
      </c>
      <c r="N848" s="264">
        <v>0</v>
      </c>
    </row>
    <row r="849" spans="1:14" hidden="1">
      <c r="E849" s="255" t="s">
        <v>226</v>
      </c>
      <c r="L849" s="264">
        <v>4045.6854235870665</v>
      </c>
      <c r="M849" s="264">
        <v>0</v>
      </c>
      <c r="N849" s="264">
        <v>0</v>
      </c>
    </row>
    <row r="850" spans="1:14" hidden="1">
      <c r="E850" s="255" t="s">
        <v>215</v>
      </c>
      <c r="L850" s="264">
        <v>5057.1067794838327</v>
      </c>
      <c r="M850" s="264">
        <v>0</v>
      </c>
      <c r="N850" s="264">
        <v>0</v>
      </c>
    </row>
    <row r="851" spans="1:14" ht="45" hidden="1">
      <c r="A851" s="249" t="s">
        <v>393</v>
      </c>
      <c r="B851" s="252" t="s">
        <v>394</v>
      </c>
      <c r="C851" s="249">
        <v>5762</v>
      </c>
      <c r="D851" s="249" t="s">
        <v>377</v>
      </c>
      <c r="E851" s="255" t="s">
        <v>367</v>
      </c>
      <c r="L851" s="264">
        <v>6908.1403248028473</v>
      </c>
      <c r="M851" s="264"/>
      <c r="N851" s="264"/>
    </row>
    <row r="852" spans="1:14" ht="30" hidden="1">
      <c r="A852" s="249" t="s">
        <v>363</v>
      </c>
      <c r="B852" s="252" t="s">
        <v>364</v>
      </c>
      <c r="C852" s="249">
        <v>11</v>
      </c>
      <c r="D852" s="249" t="s">
        <v>100</v>
      </c>
      <c r="E852" s="255" t="s">
        <v>84</v>
      </c>
      <c r="L852" s="264">
        <v>3964110.2069257726</v>
      </c>
      <c r="M852" s="264">
        <v>3982938.5399905266</v>
      </c>
      <c r="N852" s="264">
        <v>4001863.3265108438</v>
      </c>
    </row>
    <row r="853" spans="1:14" hidden="1">
      <c r="E853" s="255" t="s">
        <v>226</v>
      </c>
      <c r="L853" s="264">
        <v>105125.74001059329</v>
      </c>
      <c r="M853" s="264">
        <v>105625.05570649398</v>
      </c>
      <c r="N853" s="264">
        <v>106126.92928811513</v>
      </c>
    </row>
    <row r="854" spans="1:14" ht="30" hidden="1">
      <c r="A854" s="249" t="s">
        <v>381</v>
      </c>
      <c r="B854" s="252" t="s">
        <v>382</v>
      </c>
      <c r="C854" s="249">
        <v>11</v>
      </c>
      <c r="D854" s="249" t="s">
        <v>100</v>
      </c>
      <c r="E854" s="255" t="s">
        <v>226</v>
      </c>
      <c r="L854" s="264">
        <v>2031</v>
      </c>
      <c r="M854" s="264">
        <v>2031</v>
      </c>
      <c r="N854" s="264">
        <v>2031</v>
      </c>
    </row>
    <row r="855" spans="1:14" hidden="1">
      <c r="A855" s="249" t="s">
        <v>383</v>
      </c>
      <c r="B855" s="252" t="s">
        <v>384</v>
      </c>
      <c r="C855" s="249">
        <v>11</v>
      </c>
      <c r="D855" s="249" t="s">
        <v>100</v>
      </c>
      <c r="E855" s="255" t="s">
        <v>84</v>
      </c>
      <c r="L855" s="264">
        <v>4873.6897060000001</v>
      </c>
      <c r="M855" s="264">
        <v>4873.6897060000001</v>
      </c>
      <c r="N855" s="264">
        <v>4873.6897060000001</v>
      </c>
    </row>
    <row r="856" spans="1:14" ht="30" hidden="1">
      <c r="A856" s="249" t="s">
        <v>365</v>
      </c>
      <c r="B856" s="252" t="s">
        <v>366</v>
      </c>
      <c r="C856" s="249">
        <v>11</v>
      </c>
      <c r="D856" s="249" t="s">
        <v>100</v>
      </c>
      <c r="E856" s="255" t="s">
        <v>84</v>
      </c>
      <c r="L856" s="264">
        <v>157642.29276849586</v>
      </c>
      <c r="M856" s="264">
        <v>157642.29276849586</v>
      </c>
      <c r="N856" s="264">
        <v>157642.29276849586</v>
      </c>
    </row>
    <row r="857" spans="1:14" hidden="1">
      <c r="E857" s="255" t="s">
        <v>226</v>
      </c>
      <c r="L857" s="264">
        <v>552677.21656240686</v>
      </c>
      <c r="M857" s="264">
        <v>552677.21656240686</v>
      </c>
      <c r="N857" s="264">
        <v>552677.21656240686</v>
      </c>
    </row>
    <row r="858" spans="1:14" hidden="1">
      <c r="E858" s="255" t="s">
        <v>367</v>
      </c>
      <c r="L858" s="264">
        <v>88791.280236147883</v>
      </c>
      <c r="M858" s="264">
        <v>88791.280236147883</v>
      </c>
      <c r="N858" s="264">
        <v>88791.280236147883</v>
      </c>
    </row>
    <row r="859" spans="1:14" ht="30" hidden="1">
      <c r="A859" s="249" t="s">
        <v>368</v>
      </c>
      <c r="B859" s="252" t="s">
        <v>369</v>
      </c>
      <c r="C859" s="249">
        <v>51</v>
      </c>
      <c r="D859" s="249" t="s">
        <v>109</v>
      </c>
      <c r="E859" s="255" t="s">
        <v>84</v>
      </c>
      <c r="L859" s="264">
        <v>34150</v>
      </c>
      <c r="M859" s="264">
        <v>12911</v>
      </c>
      <c r="N859" s="264">
        <v>0</v>
      </c>
    </row>
    <row r="860" spans="1:14" hidden="1">
      <c r="E860" s="255" t="s">
        <v>226</v>
      </c>
      <c r="L860" s="264">
        <v>62126</v>
      </c>
      <c r="M860" s="264">
        <v>41140</v>
      </c>
      <c r="N860" s="264">
        <v>0</v>
      </c>
    </row>
    <row r="861" spans="1:14" hidden="1">
      <c r="C861" s="249">
        <v>52</v>
      </c>
      <c r="D861" s="249" t="s">
        <v>69</v>
      </c>
      <c r="E861" s="255" t="s">
        <v>84</v>
      </c>
      <c r="L861" s="264">
        <v>298212</v>
      </c>
      <c r="M861" s="264">
        <v>57211</v>
      </c>
      <c r="N861" s="264">
        <v>54516</v>
      </c>
    </row>
    <row r="862" spans="1:14" hidden="1">
      <c r="E862" s="255" t="s">
        <v>226</v>
      </c>
      <c r="L862" s="264">
        <v>177906</v>
      </c>
      <c r="M862" s="264">
        <v>60475</v>
      </c>
      <c r="N862" s="264">
        <v>63133</v>
      </c>
    </row>
    <row r="863" spans="1:14" hidden="1">
      <c r="E863" s="255" t="s">
        <v>192</v>
      </c>
      <c r="L863" s="264">
        <v>133</v>
      </c>
      <c r="M863" s="264">
        <v>0</v>
      </c>
      <c r="N863" s="264">
        <v>0</v>
      </c>
    </row>
    <row r="864" spans="1:14" hidden="1">
      <c r="E864" s="255" t="s">
        <v>264</v>
      </c>
      <c r="L864" s="264">
        <v>55297</v>
      </c>
      <c r="M864" s="264">
        <v>0</v>
      </c>
      <c r="N864" s="264">
        <v>0</v>
      </c>
    </row>
    <row r="865" spans="1:14" hidden="1">
      <c r="E865" s="255" t="s">
        <v>204</v>
      </c>
      <c r="L865" s="264">
        <v>8032</v>
      </c>
      <c r="M865" s="264">
        <v>0</v>
      </c>
      <c r="N865" s="264">
        <v>0</v>
      </c>
    </row>
    <row r="866" spans="1:14" hidden="1">
      <c r="E866" s="255" t="s">
        <v>283</v>
      </c>
      <c r="L866" s="264">
        <v>4679</v>
      </c>
      <c r="M866" s="264">
        <v>0</v>
      </c>
      <c r="N866" s="264">
        <v>0</v>
      </c>
    </row>
    <row r="867" spans="1:14" hidden="1">
      <c r="E867" s="255" t="s">
        <v>367</v>
      </c>
      <c r="L867" s="264">
        <v>14745</v>
      </c>
      <c r="M867" s="264">
        <v>4745</v>
      </c>
      <c r="N867" s="264">
        <v>12418</v>
      </c>
    </row>
    <row r="868" spans="1:14" hidden="1">
      <c r="C868" s="249">
        <v>61</v>
      </c>
      <c r="D868" s="249" t="s">
        <v>276</v>
      </c>
      <c r="E868" s="255" t="s">
        <v>84</v>
      </c>
      <c r="L868" s="264">
        <v>41144</v>
      </c>
      <c r="M868" s="264">
        <v>0</v>
      </c>
      <c r="N868" s="264">
        <v>0</v>
      </c>
    </row>
    <row r="869" spans="1:14" hidden="1">
      <c r="E869" s="255" t="s">
        <v>226</v>
      </c>
      <c r="L869" s="264">
        <v>14932</v>
      </c>
      <c r="M869" s="264">
        <v>0</v>
      </c>
      <c r="N869" s="264">
        <v>0</v>
      </c>
    </row>
    <row r="870" spans="1:14" ht="30" hidden="1">
      <c r="A870" s="249" t="s">
        <v>370</v>
      </c>
      <c r="B870" s="252" t="s">
        <v>371</v>
      </c>
      <c r="C870" s="249">
        <v>31</v>
      </c>
      <c r="D870" s="249" t="s">
        <v>333</v>
      </c>
      <c r="E870" s="255" t="s">
        <v>84</v>
      </c>
      <c r="L870" s="264">
        <v>132446.43917977303</v>
      </c>
      <c r="M870" s="264">
        <v>136552</v>
      </c>
      <c r="N870" s="264">
        <v>136552</v>
      </c>
    </row>
    <row r="871" spans="1:14" hidden="1">
      <c r="E871" s="255" t="s">
        <v>226</v>
      </c>
      <c r="L871" s="264">
        <v>239326.24381179904</v>
      </c>
      <c r="M871" s="264">
        <v>246746</v>
      </c>
      <c r="N871" s="264">
        <v>246746</v>
      </c>
    </row>
    <row r="872" spans="1:14" hidden="1">
      <c r="E872" s="255" t="s">
        <v>192</v>
      </c>
      <c r="L872" s="264">
        <v>3580.7721812993559</v>
      </c>
      <c r="M872" s="264">
        <v>3692</v>
      </c>
      <c r="N872" s="264">
        <v>3692</v>
      </c>
    </row>
    <row r="873" spans="1:14" hidden="1">
      <c r="E873" s="255" t="s">
        <v>367</v>
      </c>
      <c r="L873" s="264">
        <v>53494.945119118718</v>
      </c>
      <c r="M873" s="264">
        <v>55153</v>
      </c>
      <c r="N873" s="264">
        <v>55153</v>
      </c>
    </row>
    <row r="874" spans="1:14" hidden="1">
      <c r="C874" s="249">
        <v>43</v>
      </c>
      <c r="D874" s="249" t="s">
        <v>104</v>
      </c>
      <c r="E874" s="255" t="s">
        <v>84</v>
      </c>
      <c r="L874" s="264">
        <v>545929.06337514101</v>
      </c>
      <c r="M874" s="264">
        <v>562852</v>
      </c>
      <c r="N874" s="264">
        <v>562852</v>
      </c>
    </row>
    <row r="875" spans="1:14" hidden="1">
      <c r="E875" s="255" t="s">
        <v>226</v>
      </c>
      <c r="L875" s="264">
        <v>186356.27914473417</v>
      </c>
      <c r="M875" s="264">
        <v>192134</v>
      </c>
      <c r="N875" s="264">
        <v>192134</v>
      </c>
    </row>
    <row r="876" spans="1:14" hidden="1">
      <c r="E876" s="255" t="s">
        <v>192</v>
      </c>
      <c r="L876" s="264">
        <v>5299.6026279116068</v>
      </c>
      <c r="M876" s="264">
        <v>5464</v>
      </c>
      <c r="N876" s="264">
        <v>5464</v>
      </c>
    </row>
    <row r="877" spans="1:14" hidden="1">
      <c r="E877" s="255" t="s">
        <v>367</v>
      </c>
      <c r="L877" s="264">
        <v>14425.971199150576</v>
      </c>
      <c r="M877" s="264">
        <v>14873</v>
      </c>
      <c r="N877" s="264">
        <v>14873</v>
      </c>
    </row>
    <row r="878" spans="1:14" hidden="1">
      <c r="E878" s="255" t="s">
        <v>322</v>
      </c>
      <c r="L878" s="264">
        <v>21018.196297033646</v>
      </c>
      <c r="M878" s="264">
        <v>21670</v>
      </c>
      <c r="N878" s="264">
        <v>21670</v>
      </c>
    </row>
    <row r="879" spans="1:14" hidden="1">
      <c r="C879" s="249">
        <v>61</v>
      </c>
      <c r="D879" s="249" t="s">
        <v>276</v>
      </c>
      <c r="E879" s="255" t="s">
        <v>226</v>
      </c>
      <c r="L879" s="264">
        <v>15557.67841263521</v>
      </c>
      <c r="M879" s="264">
        <v>16041</v>
      </c>
      <c r="N879" s="264">
        <v>16041</v>
      </c>
    </row>
    <row r="880" spans="1:14" hidden="1">
      <c r="E880" s="255" t="s">
        <v>283</v>
      </c>
      <c r="L880" s="264">
        <v>53089.123365850421</v>
      </c>
      <c r="M880" s="264">
        <v>54735</v>
      </c>
      <c r="N880" s="264">
        <v>54735</v>
      </c>
    </row>
    <row r="881" spans="1:14" hidden="1">
      <c r="C881" s="249">
        <v>71</v>
      </c>
      <c r="D881" s="249" t="s">
        <v>387</v>
      </c>
      <c r="E881" s="255" t="s">
        <v>367</v>
      </c>
      <c r="L881" s="264">
        <v>1430.7051562811071</v>
      </c>
      <c r="M881" s="264">
        <v>1475.0570161258213</v>
      </c>
      <c r="N881" s="264">
        <v>1475.0570161258213</v>
      </c>
    </row>
    <row r="882" spans="1:14" ht="30" hidden="1">
      <c r="A882" s="249" t="s">
        <v>388</v>
      </c>
      <c r="B882" s="252" t="s">
        <v>389</v>
      </c>
      <c r="C882" s="249">
        <v>12</v>
      </c>
      <c r="D882" s="249" t="s">
        <v>102</v>
      </c>
      <c r="E882" s="255" t="s">
        <v>84</v>
      </c>
      <c r="L882" s="264">
        <v>3965.3523970304977</v>
      </c>
      <c r="M882" s="264">
        <v>0</v>
      </c>
      <c r="N882" s="264">
        <v>0</v>
      </c>
    </row>
    <row r="883" spans="1:14" hidden="1">
      <c r="E883" s="255" t="s">
        <v>226</v>
      </c>
      <c r="L883" s="264">
        <v>3546.090829360277</v>
      </c>
      <c r="M883" s="264">
        <v>0</v>
      </c>
      <c r="N883" s="264">
        <v>0</v>
      </c>
    </row>
    <row r="884" spans="1:14" hidden="1">
      <c r="E884" s="255" t="s">
        <v>264</v>
      </c>
      <c r="L884" s="264">
        <v>65.305540135548384</v>
      </c>
      <c r="M884" s="264">
        <v>0</v>
      </c>
      <c r="N884" s="264">
        <v>0</v>
      </c>
    </row>
    <row r="885" spans="1:14" hidden="1">
      <c r="E885" s="255" t="s">
        <v>367</v>
      </c>
      <c r="L885" s="264">
        <v>2340.5505584580542</v>
      </c>
      <c r="M885" s="264">
        <v>0</v>
      </c>
      <c r="N885" s="264">
        <v>0</v>
      </c>
    </row>
    <row r="886" spans="1:14" hidden="1">
      <c r="C886" s="249">
        <v>561</v>
      </c>
      <c r="D886" s="249" t="s">
        <v>390</v>
      </c>
      <c r="E886" s="255" t="s">
        <v>84</v>
      </c>
      <c r="L886" s="264">
        <v>22471.374774197418</v>
      </c>
      <c r="M886" s="264">
        <v>0</v>
      </c>
      <c r="N886" s="264">
        <v>0</v>
      </c>
    </row>
    <row r="887" spans="1:14" hidden="1">
      <c r="E887" s="255" t="s">
        <v>226</v>
      </c>
      <c r="L887" s="264">
        <v>20096.101870984327</v>
      </c>
      <c r="M887" s="264">
        <v>0</v>
      </c>
      <c r="N887" s="264">
        <v>0</v>
      </c>
    </row>
    <row r="888" spans="1:14" hidden="1">
      <c r="E888" s="255" t="s">
        <v>264</v>
      </c>
      <c r="L888" s="264">
        <v>368.3403677239985</v>
      </c>
      <c r="M888" s="264">
        <v>0</v>
      </c>
      <c r="N888" s="264">
        <v>0</v>
      </c>
    </row>
    <row r="889" spans="1:14" hidden="1">
      <c r="E889" s="255" t="s">
        <v>367</v>
      </c>
      <c r="L889" s="264">
        <v>13262.212495339074</v>
      </c>
      <c r="M889" s="264">
        <v>0</v>
      </c>
      <c r="N889" s="264">
        <v>0</v>
      </c>
    </row>
    <row r="890" spans="1:14" ht="30" hidden="1">
      <c r="A890" s="249" t="s">
        <v>363</v>
      </c>
      <c r="B890" s="252" t="s">
        <v>364</v>
      </c>
      <c r="C890" s="249">
        <v>11</v>
      </c>
      <c r="D890" s="249" t="s">
        <v>100</v>
      </c>
      <c r="E890" s="255" t="s">
        <v>84</v>
      </c>
      <c r="L890" s="264">
        <v>1470869.4478851792</v>
      </c>
      <c r="M890" s="264">
        <v>1477855.6360620793</v>
      </c>
      <c r="N890" s="264">
        <v>1484877.6129616746</v>
      </c>
    </row>
    <row r="891" spans="1:14" hidden="1">
      <c r="E891" s="255" t="s">
        <v>226</v>
      </c>
      <c r="L891" s="264">
        <v>53637.129463564881</v>
      </c>
      <c r="M891" s="264">
        <v>53891.889721343017</v>
      </c>
      <c r="N891" s="264">
        <v>54147.955060517255</v>
      </c>
    </row>
    <row r="892" spans="1:14" ht="30" hidden="1">
      <c r="A892" s="249" t="s">
        <v>365</v>
      </c>
      <c r="B892" s="252" t="s">
        <v>366</v>
      </c>
      <c r="C892" s="249">
        <v>11</v>
      </c>
      <c r="D892" s="249" t="s">
        <v>100</v>
      </c>
      <c r="E892" s="255" t="s">
        <v>226</v>
      </c>
      <c r="L892" s="264">
        <v>87608.060123856034</v>
      </c>
      <c r="M892" s="264">
        <v>87608.060123856034</v>
      </c>
      <c r="N892" s="264">
        <v>87608.060123856034</v>
      </c>
    </row>
    <row r="893" spans="1:14" hidden="1">
      <c r="E893" s="255" t="s">
        <v>209</v>
      </c>
      <c r="L893" s="264">
        <v>2805.0830365483798</v>
      </c>
      <c r="M893" s="264">
        <v>2805.0830365483798</v>
      </c>
      <c r="N893" s="264">
        <v>2805.0830365483798</v>
      </c>
    </row>
    <row r="894" spans="1:14" hidden="1">
      <c r="E894" s="255" t="s">
        <v>367</v>
      </c>
      <c r="L894" s="264">
        <v>27095.160708790096</v>
      </c>
      <c r="M894" s="264">
        <v>27095.160708790096</v>
      </c>
      <c r="N894" s="264">
        <v>27095.160708790096</v>
      </c>
    </row>
    <row r="895" spans="1:14" ht="30" hidden="1">
      <c r="A895" s="249" t="s">
        <v>370</v>
      </c>
      <c r="B895" s="252" t="s">
        <v>371</v>
      </c>
      <c r="C895" s="249">
        <v>31</v>
      </c>
      <c r="D895" s="249" t="s">
        <v>333</v>
      </c>
      <c r="E895" s="255" t="s">
        <v>84</v>
      </c>
      <c r="L895" s="264">
        <v>3862.2337248656177</v>
      </c>
      <c r="M895" s="264">
        <v>3862.2337248656177</v>
      </c>
      <c r="N895" s="264">
        <v>3862.2337248656177</v>
      </c>
    </row>
    <row r="896" spans="1:14" hidden="1">
      <c r="E896" s="255" t="s">
        <v>226</v>
      </c>
      <c r="L896" s="264">
        <v>8700.4176123166762</v>
      </c>
      <c r="M896" s="264">
        <v>9705.4456168292527</v>
      </c>
      <c r="N896" s="264">
        <v>11375.445616829253</v>
      </c>
    </row>
    <row r="897" spans="1:14" hidden="1">
      <c r="E897" s="255" t="s">
        <v>367</v>
      </c>
      <c r="L897" s="264">
        <v>1725.3965093901388</v>
      </c>
      <c r="M897" s="264">
        <v>3200</v>
      </c>
      <c r="N897" s="264">
        <v>4500</v>
      </c>
    </row>
    <row r="898" spans="1:14" hidden="1">
      <c r="E898" s="255" t="s">
        <v>322</v>
      </c>
      <c r="L898" s="264">
        <v>1712.124228548676</v>
      </c>
      <c r="M898" s="264">
        <v>1832</v>
      </c>
      <c r="N898" s="264">
        <v>2762</v>
      </c>
    </row>
    <row r="899" spans="1:14" hidden="1">
      <c r="C899" s="249">
        <v>43</v>
      </c>
      <c r="D899" s="249" t="s">
        <v>104</v>
      </c>
      <c r="E899" s="255" t="s">
        <v>84</v>
      </c>
      <c r="L899" s="264">
        <v>7922</v>
      </c>
      <c r="M899" s="264">
        <v>8714.2000000000007</v>
      </c>
      <c r="N899" s="264">
        <v>8714.2000000000007</v>
      </c>
    </row>
    <row r="900" spans="1:14" hidden="1">
      <c r="E900" s="255" t="s">
        <v>226</v>
      </c>
      <c r="L900" s="264">
        <v>82760.913132921894</v>
      </c>
      <c r="M900" s="264">
        <v>92605.421195832503</v>
      </c>
      <c r="N900" s="264">
        <v>92605.421195832503</v>
      </c>
    </row>
    <row r="901" spans="1:14" hidden="1">
      <c r="E901" s="255" t="s">
        <v>192</v>
      </c>
      <c r="L901" s="264">
        <v>729.97544628044329</v>
      </c>
      <c r="M901" s="264">
        <v>830</v>
      </c>
      <c r="N901" s="264">
        <v>830</v>
      </c>
    </row>
    <row r="902" spans="1:14" hidden="1">
      <c r="E902" s="255" t="s">
        <v>367</v>
      </c>
      <c r="L902" s="264">
        <v>12336.824673170084</v>
      </c>
      <c r="M902" s="264">
        <v>18300</v>
      </c>
      <c r="N902" s="264">
        <v>18300</v>
      </c>
    </row>
    <row r="903" spans="1:14" hidden="1">
      <c r="C903" s="249">
        <v>52</v>
      </c>
      <c r="D903" s="249" t="s">
        <v>69</v>
      </c>
      <c r="E903" s="255" t="s">
        <v>84</v>
      </c>
      <c r="L903" s="264">
        <v>23521.95</v>
      </c>
      <c r="M903" s="264">
        <v>25439.25</v>
      </c>
      <c r="N903" s="264">
        <v>20510.25</v>
      </c>
    </row>
    <row r="904" spans="1:14" hidden="1">
      <c r="E904" s="255" t="s">
        <v>226</v>
      </c>
      <c r="L904" s="264">
        <v>8895.7228084146263</v>
      </c>
      <c r="M904" s="264">
        <v>2904</v>
      </c>
      <c r="N904" s="264">
        <v>2347</v>
      </c>
    </row>
    <row r="905" spans="1:14" hidden="1">
      <c r="C905" s="249">
        <v>61</v>
      </c>
      <c r="D905" s="249" t="s">
        <v>276</v>
      </c>
      <c r="E905" s="255" t="s">
        <v>226</v>
      </c>
      <c r="L905" s="264">
        <v>2600</v>
      </c>
      <c r="M905" s="264">
        <v>2600</v>
      </c>
      <c r="N905" s="264">
        <v>2600</v>
      </c>
    </row>
    <row r="906" spans="1:14" ht="30" hidden="1">
      <c r="A906" s="249" t="s">
        <v>372</v>
      </c>
      <c r="B906" s="252" t="s">
        <v>373</v>
      </c>
      <c r="C906" s="249">
        <v>12</v>
      </c>
      <c r="D906" s="249" t="s">
        <v>102</v>
      </c>
      <c r="E906" s="255" t="s">
        <v>84</v>
      </c>
      <c r="L906" s="264">
        <v>1525.98022496516</v>
      </c>
      <c r="M906" s="264"/>
      <c r="N906" s="264"/>
    </row>
    <row r="907" spans="1:14" hidden="1">
      <c r="E907" s="255" t="s">
        <v>226</v>
      </c>
      <c r="L907" s="264">
        <v>15434.097750348395</v>
      </c>
      <c r="M907" s="264"/>
      <c r="N907" s="264"/>
    </row>
    <row r="908" spans="1:14" hidden="1">
      <c r="E908" s="255" t="s">
        <v>367</v>
      </c>
      <c r="L908" s="264">
        <v>293689.57264582918</v>
      </c>
      <c r="M908" s="264"/>
      <c r="N908" s="264"/>
    </row>
    <row r="909" spans="1:14" hidden="1">
      <c r="E909" s="255" t="s">
        <v>322</v>
      </c>
      <c r="L909" s="264">
        <v>179661.43320724668</v>
      </c>
      <c r="M909" s="264"/>
      <c r="N909" s="264"/>
    </row>
    <row r="910" spans="1:14" hidden="1">
      <c r="C910" s="249">
        <v>563</v>
      </c>
      <c r="D910" s="249" t="s">
        <v>374</v>
      </c>
      <c r="E910" s="255" t="s">
        <v>84</v>
      </c>
      <c r="L910" s="264">
        <v>8647.221274802574</v>
      </c>
      <c r="M910" s="264"/>
      <c r="N910" s="264"/>
    </row>
    <row r="911" spans="1:14" hidden="1">
      <c r="E911" s="255" t="s">
        <v>226</v>
      </c>
      <c r="L911" s="264">
        <v>87459.887251974244</v>
      </c>
      <c r="M911" s="264"/>
      <c r="N911" s="264"/>
    </row>
    <row r="912" spans="1:14" hidden="1">
      <c r="E912" s="255" t="s">
        <v>367</v>
      </c>
      <c r="L912" s="264">
        <v>1664240.9116596985</v>
      </c>
      <c r="M912" s="264"/>
      <c r="N912" s="264"/>
    </row>
    <row r="913" spans="1:14" hidden="1">
      <c r="E913" s="255" t="s">
        <v>322</v>
      </c>
      <c r="L913" s="264">
        <v>1018081.4548410645</v>
      </c>
      <c r="M913" s="264"/>
      <c r="N913" s="264"/>
    </row>
    <row r="914" spans="1:14" ht="30" hidden="1">
      <c r="A914" s="249" t="s">
        <v>363</v>
      </c>
      <c r="B914" s="252" t="s">
        <v>364</v>
      </c>
      <c r="C914" s="249">
        <v>11</v>
      </c>
      <c r="D914" s="249" t="s">
        <v>100</v>
      </c>
      <c r="E914" s="255" t="s">
        <v>84</v>
      </c>
      <c r="L914" s="264">
        <v>2471783.9720358164</v>
      </c>
      <c r="M914" s="264">
        <v>2483524.2036288483</v>
      </c>
      <c r="N914" s="264">
        <v>2495324.5778751024</v>
      </c>
    </row>
    <row r="915" spans="1:14" hidden="1">
      <c r="E915" s="255" t="s">
        <v>226</v>
      </c>
      <c r="L915" s="264">
        <v>58595.973983472155</v>
      </c>
      <c r="M915" s="264">
        <v>58874.287263584032</v>
      </c>
      <c r="N915" s="264">
        <v>59154.026282103194</v>
      </c>
    </row>
    <row r="916" spans="1:14" ht="30" hidden="1">
      <c r="A916" s="249" t="s">
        <v>365</v>
      </c>
      <c r="B916" s="252" t="s">
        <v>366</v>
      </c>
      <c r="C916" s="249">
        <v>11</v>
      </c>
      <c r="D916" s="249" t="s">
        <v>100</v>
      </c>
      <c r="E916" s="255" t="s">
        <v>226</v>
      </c>
      <c r="L916" s="264">
        <v>264648.67439405515</v>
      </c>
      <c r="M916" s="264">
        <v>264648.67439405515</v>
      </c>
      <c r="N916" s="264">
        <v>264648.67439405515</v>
      </c>
    </row>
    <row r="917" spans="1:14" hidden="1">
      <c r="E917" s="255" t="s">
        <v>192</v>
      </c>
      <c r="L917" s="264">
        <v>1478.5162294810905</v>
      </c>
      <c r="M917" s="264">
        <v>1478.5162294810905</v>
      </c>
      <c r="N917" s="264">
        <v>1478.5162294810905</v>
      </c>
    </row>
    <row r="918" spans="1:14" hidden="1">
      <c r="E918" s="255" t="s">
        <v>283</v>
      </c>
      <c r="L918" s="264">
        <v>14455.238684356376</v>
      </c>
      <c r="M918" s="264">
        <v>14455.238684356376</v>
      </c>
      <c r="N918" s="264">
        <v>14455.238684356376</v>
      </c>
    </row>
    <row r="919" spans="1:14" hidden="1">
      <c r="E919" s="255" t="s">
        <v>367</v>
      </c>
      <c r="L919" s="264">
        <v>97817.029151212148</v>
      </c>
      <c r="M919" s="264">
        <v>97817.029151212148</v>
      </c>
      <c r="N919" s="264">
        <v>97817.029151212148</v>
      </c>
    </row>
    <row r="920" spans="1:14" ht="30" hidden="1">
      <c r="A920" s="249" t="s">
        <v>368</v>
      </c>
      <c r="B920" s="252" t="s">
        <v>369</v>
      </c>
      <c r="C920" s="249">
        <v>51</v>
      </c>
      <c r="D920" s="249" t="s">
        <v>109</v>
      </c>
      <c r="E920" s="255" t="s">
        <v>84</v>
      </c>
      <c r="L920" s="264">
        <v>6236</v>
      </c>
      <c r="M920" s="264"/>
      <c r="N920" s="264"/>
    </row>
    <row r="921" spans="1:14" ht="30" hidden="1">
      <c r="A921" s="249" t="s">
        <v>370</v>
      </c>
      <c r="B921" s="252" t="s">
        <v>371</v>
      </c>
      <c r="C921" s="249">
        <v>31</v>
      </c>
      <c r="D921" s="249" t="s">
        <v>333</v>
      </c>
      <c r="E921" s="255" t="s">
        <v>84</v>
      </c>
      <c r="L921" s="264">
        <v>38754</v>
      </c>
      <c r="M921" s="264">
        <v>39955</v>
      </c>
      <c r="N921" s="264">
        <v>39955</v>
      </c>
    </row>
    <row r="922" spans="1:14" hidden="1">
      <c r="E922" s="255" t="s">
        <v>226</v>
      </c>
      <c r="L922" s="264">
        <v>4977</v>
      </c>
      <c r="M922" s="264">
        <v>5131</v>
      </c>
      <c r="N922" s="264">
        <v>5131</v>
      </c>
    </row>
    <row r="923" spans="1:14" ht="30" hidden="1">
      <c r="A923" s="249" t="s">
        <v>388</v>
      </c>
      <c r="B923" s="252" t="s">
        <v>389</v>
      </c>
      <c r="C923" s="249">
        <v>12</v>
      </c>
      <c r="D923" s="249" t="s">
        <v>102</v>
      </c>
      <c r="E923" s="255" t="s">
        <v>84</v>
      </c>
      <c r="L923" s="264">
        <v>16350.092864144801</v>
      </c>
      <c r="M923" s="264"/>
      <c r="N923" s="264"/>
    </row>
    <row r="924" spans="1:14" hidden="1">
      <c r="C924" s="249">
        <v>561</v>
      </c>
      <c r="D924" s="249" t="s">
        <v>390</v>
      </c>
      <c r="E924" s="255" t="s">
        <v>84</v>
      </c>
      <c r="L924" s="264">
        <v>92650.526230153861</v>
      </c>
      <c r="M924" s="264"/>
      <c r="N924" s="264"/>
    </row>
    <row r="925" spans="1:14" ht="30" hidden="1">
      <c r="A925" s="249" t="s">
        <v>363</v>
      </c>
      <c r="B925" s="252" t="s">
        <v>364</v>
      </c>
      <c r="C925" s="249">
        <v>11</v>
      </c>
      <c r="D925" s="249" t="s">
        <v>100</v>
      </c>
      <c r="E925" s="255" t="s">
        <v>84</v>
      </c>
      <c r="L925" s="264">
        <v>1759907.8687678373</v>
      </c>
      <c r="M925" s="264">
        <v>1768266.9026459951</v>
      </c>
      <c r="N925" s="264">
        <v>1776668.7580368132</v>
      </c>
    </row>
    <row r="926" spans="1:14" hidden="1">
      <c r="E926" s="255" t="s">
        <v>226</v>
      </c>
      <c r="L926" s="264">
        <v>91029.818995029578</v>
      </c>
      <c r="M926" s="264">
        <v>91462.18329909668</v>
      </c>
      <c r="N926" s="264">
        <v>91896.762511464229</v>
      </c>
    </row>
    <row r="927" spans="1:14" ht="30" hidden="1">
      <c r="A927" s="249" t="s">
        <v>365</v>
      </c>
      <c r="B927" s="252" t="s">
        <v>366</v>
      </c>
      <c r="C927" s="249">
        <v>11</v>
      </c>
      <c r="D927" s="249" t="s">
        <v>100</v>
      </c>
      <c r="E927" s="255" t="s">
        <v>226</v>
      </c>
      <c r="L927" s="264">
        <v>132035.23429258142</v>
      </c>
      <c r="M927" s="264">
        <v>132035.23429258142</v>
      </c>
      <c r="N927" s="264">
        <v>132035.23429258142</v>
      </c>
    </row>
    <row r="928" spans="1:14" hidden="1">
      <c r="E928" s="255" t="s">
        <v>192</v>
      </c>
      <c r="L928" s="264">
        <v>602.67442652150578</v>
      </c>
      <c r="M928" s="264">
        <v>602.67442652150578</v>
      </c>
      <c r="N928" s="264">
        <v>602.67442652150578</v>
      </c>
    </row>
    <row r="929" spans="1:14" ht="30" hidden="1">
      <c r="A929" s="249" t="s">
        <v>370</v>
      </c>
      <c r="B929" s="252" t="s">
        <v>371</v>
      </c>
      <c r="C929" s="249">
        <v>31</v>
      </c>
      <c r="D929" s="249" t="s">
        <v>333</v>
      </c>
      <c r="E929" s="255" t="s">
        <v>84</v>
      </c>
      <c r="L929" s="264">
        <v>33844</v>
      </c>
      <c r="M929" s="264">
        <v>33844</v>
      </c>
      <c r="N929" s="264">
        <v>33844</v>
      </c>
    </row>
    <row r="930" spans="1:14" hidden="1">
      <c r="E930" s="255" t="s">
        <v>226</v>
      </c>
      <c r="L930" s="264">
        <v>100429</v>
      </c>
      <c r="M930" s="264">
        <v>100429</v>
      </c>
      <c r="N930" s="264">
        <v>100429</v>
      </c>
    </row>
    <row r="931" spans="1:14" hidden="1">
      <c r="E931" s="255" t="s">
        <v>367</v>
      </c>
      <c r="L931" s="264">
        <v>195727</v>
      </c>
      <c r="M931" s="264">
        <v>215727</v>
      </c>
      <c r="N931" s="264">
        <v>265727</v>
      </c>
    </row>
    <row r="932" spans="1:14" hidden="1">
      <c r="C932" s="249">
        <v>43</v>
      </c>
      <c r="D932" s="249" t="s">
        <v>104</v>
      </c>
      <c r="E932" s="255" t="s">
        <v>84</v>
      </c>
      <c r="L932" s="264">
        <v>13253</v>
      </c>
      <c r="M932" s="264">
        <v>14563</v>
      </c>
      <c r="N932" s="264">
        <v>14563</v>
      </c>
    </row>
    <row r="933" spans="1:14" hidden="1">
      <c r="E933" s="255" t="s">
        <v>226</v>
      </c>
      <c r="L933" s="264">
        <v>33115</v>
      </c>
      <c r="M933" s="264">
        <v>33115</v>
      </c>
      <c r="N933" s="264">
        <v>33115</v>
      </c>
    </row>
    <row r="934" spans="1:14" hidden="1">
      <c r="E934" s="255" t="s">
        <v>367</v>
      </c>
      <c r="L934" s="264">
        <v>43632</v>
      </c>
      <c r="M934" s="264">
        <v>52322</v>
      </c>
      <c r="N934" s="264">
        <v>62322</v>
      </c>
    </row>
    <row r="935" spans="1:14" hidden="1">
      <c r="C935" s="249">
        <v>52</v>
      </c>
      <c r="D935" s="249" t="s">
        <v>69</v>
      </c>
      <c r="E935" s="255" t="s">
        <v>84</v>
      </c>
      <c r="L935" s="264">
        <v>25915</v>
      </c>
      <c r="M935" s="264">
        <v>26684</v>
      </c>
      <c r="N935" s="264"/>
    </row>
    <row r="936" spans="1:14" hidden="1">
      <c r="E936" s="255" t="s">
        <v>204</v>
      </c>
      <c r="L936" s="264">
        <v>5309</v>
      </c>
      <c r="M936" s="264"/>
      <c r="N936" s="264"/>
    </row>
    <row r="937" spans="1:14" hidden="1">
      <c r="C937" s="249">
        <v>61</v>
      </c>
      <c r="D937" s="249" t="s">
        <v>276</v>
      </c>
      <c r="E937" s="255" t="s">
        <v>84</v>
      </c>
      <c r="L937" s="264">
        <v>75295</v>
      </c>
      <c r="M937" s="264"/>
      <c r="N937" s="264"/>
    </row>
    <row r="938" spans="1:14" hidden="1">
      <c r="E938" s="255" t="s">
        <v>226</v>
      </c>
      <c r="L938" s="264">
        <v>59725</v>
      </c>
      <c r="M938" s="264"/>
      <c r="N938" s="264"/>
    </row>
    <row r="939" spans="1:14" ht="30" hidden="1">
      <c r="A939" s="249" t="s">
        <v>372</v>
      </c>
      <c r="B939" s="252" t="s">
        <v>373</v>
      </c>
      <c r="C939" s="249">
        <v>563</v>
      </c>
      <c r="D939" s="249" t="s">
        <v>374</v>
      </c>
      <c r="E939" s="255" t="s">
        <v>84</v>
      </c>
      <c r="L939" s="264">
        <v>42139</v>
      </c>
      <c r="M939" s="264">
        <v>14180</v>
      </c>
      <c r="N939" s="264"/>
    </row>
    <row r="940" spans="1:14" hidden="1">
      <c r="E940" s="255" t="s">
        <v>226</v>
      </c>
      <c r="L940" s="264">
        <v>118268</v>
      </c>
      <c r="M940" s="264">
        <v>22855</v>
      </c>
      <c r="N940" s="264"/>
    </row>
    <row r="941" spans="1:14" hidden="1">
      <c r="E941" s="255" t="s">
        <v>204</v>
      </c>
      <c r="L941" s="264">
        <v>5912</v>
      </c>
      <c r="M941" s="264"/>
      <c r="N941" s="264"/>
    </row>
    <row r="942" spans="1:14" hidden="1">
      <c r="E942" s="255" t="s">
        <v>367</v>
      </c>
      <c r="L942" s="264">
        <v>166657</v>
      </c>
      <c r="M942" s="264"/>
      <c r="N942" s="264"/>
    </row>
    <row r="943" spans="1:14" ht="30" hidden="1">
      <c r="A943" s="249" t="s">
        <v>388</v>
      </c>
      <c r="B943" s="252" t="s">
        <v>389</v>
      </c>
      <c r="C943" s="249">
        <v>12</v>
      </c>
      <c r="D943" s="249" t="s">
        <v>102</v>
      </c>
      <c r="E943" s="255" t="s">
        <v>84</v>
      </c>
      <c r="L943" s="264">
        <v>2868.5383329103074</v>
      </c>
      <c r="M943" s="264"/>
      <c r="N943" s="264"/>
    </row>
    <row r="944" spans="1:14" hidden="1">
      <c r="E944" s="255" t="s">
        <v>226</v>
      </c>
      <c r="L944" s="264">
        <v>12121.506892259267</v>
      </c>
      <c r="M944" s="264"/>
      <c r="N944" s="264"/>
    </row>
    <row r="945" spans="1:14" hidden="1">
      <c r="E945" s="255" t="s">
        <v>264</v>
      </c>
      <c r="L945" s="264">
        <v>930.04980436432641</v>
      </c>
      <c r="M945" s="264"/>
      <c r="N945" s="264"/>
    </row>
    <row r="946" spans="1:14" hidden="1">
      <c r="E946" s="255" t="s">
        <v>204</v>
      </c>
      <c r="L946" s="264">
        <v>391.84537260585995</v>
      </c>
      <c r="M946" s="264"/>
      <c r="N946" s="264"/>
    </row>
    <row r="947" spans="1:14" hidden="1">
      <c r="E947" s="255" t="s">
        <v>367</v>
      </c>
      <c r="L947" s="264">
        <v>9824.1161827268625</v>
      </c>
      <c r="M947" s="264"/>
      <c r="N947" s="264"/>
    </row>
    <row r="948" spans="1:14" hidden="1">
      <c r="C948" s="249">
        <v>561</v>
      </c>
      <c r="D948" s="249" t="s">
        <v>390</v>
      </c>
      <c r="E948" s="255" t="s">
        <v>84</v>
      </c>
      <c r="L948" s="264">
        <v>16255.050390607905</v>
      </c>
      <c r="M948" s="264"/>
      <c r="N948" s="264"/>
    </row>
    <row r="949" spans="1:14" hidden="1">
      <c r="E949" s="255" t="s">
        <v>226</v>
      </c>
      <c r="L949" s="264">
        <v>68688.538369250469</v>
      </c>
      <c r="M949" s="264"/>
      <c r="N949" s="264"/>
    </row>
    <row r="950" spans="1:14" hidden="1">
      <c r="E950" s="255" t="s">
        <v>264</v>
      </c>
      <c r="L950" s="264">
        <v>5270.2821720283619</v>
      </c>
      <c r="M950" s="264"/>
      <c r="N950" s="264"/>
    </row>
    <row r="951" spans="1:14" hidden="1">
      <c r="E951" s="255" t="s">
        <v>204</v>
      </c>
      <c r="L951" s="264">
        <v>2220.4570892286356</v>
      </c>
      <c r="M951" s="264"/>
      <c r="N951" s="264"/>
    </row>
    <row r="952" spans="1:14" hidden="1">
      <c r="E952" s="255" t="s">
        <v>367</v>
      </c>
      <c r="L952" s="264">
        <v>55669.991145418971</v>
      </c>
      <c r="M952" s="264"/>
      <c r="N952" s="264"/>
    </row>
    <row r="953" spans="1:14" ht="30" hidden="1">
      <c r="A953" s="249" t="s">
        <v>401</v>
      </c>
      <c r="B953" s="252" t="s">
        <v>402</v>
      </c>
      <c r="C953" s="249">
        <v>11</v>
      </c>
      <c r="D953" s="249" t="s">
        <v>100</v>
      </c>
      <c r="E953" s="255" t="s">
        <v>84</v>
      </c>
      <c r="L953" s="264">
        <v>1954738.9292833656</v>
      </c>
      <c r="M953" s="264">
        <v>1963848.6999411187</v>
      </c>
      <c r="N953" s="264">
        <v>1973001.1080165505</v>
      </c>
    </row>
    <row r="954" spans="1:14" hidden="1">
      <c r="E954" s="255" t="s">
        <v>226</v>
      </c>
      <c r="L954" s="264">
        <v>3606.8873087278789</v>
      </c>
      <c r="M954" s="264">
        <v>3623.6966716963229</v>
      </c>
      <c r="N954" s="264">
        <v>3640.5847092940985</v>
      </c>
    </row>
    <row r="955" spans="1:14" hidden="1">
      <c r="A955" s="249" t="s">
        <v>383</v>
      </c>
      <c r="B955" s="252" t="s">
        <v>384</v>
      </c>
      <c r="C955" s="249">
        <v>11</v>
      </c>
      <c r="D955" s="249" t="s">
        <v>100</v>
      </c>
      <c r="E955" s="255" t="s">
        <v>226</v>
      </c>
      <c r="L955" s="264">
        <v>32512.94</v>
      </c>
      <c r="M955" s="264">
        <v>32512.94</v>
      </c>
      <c r="N955" s="264">
        <v>32512.94</v>
      </c>
    </row>
    <row r="956" spans="1:14" ht="30" hidden="1">
      <c r="A956" s="249" t="s">
        <v>365</v>
      </c>
      <c r="B956" s="252" t="s">
        <v>366</v>
      </c>
      <c r="C956" s="249">
        <v>11</v>
      </c>
      <c r="D956" s="249" t="s">
        <v>100</v>
      </c>
      <c r="E956" s="255" t="s">
        <v>226</v>
      </c>
      <c r="L956" s="264">
        <v>287033.21436516719</v>
      </c>
      <c r="M956" s="264">
        <v>287033.21436516719</v>
      </c>
      <c r="N956" s="264">
        <v>287033.21436516719</v>
      </c>
    </row>
    <row r="957" spans="1:14" ht="30" hidden="1">
      <c r="A957" s="249" t="s">
        <v>403</v>
      </c>
      <c r="B957" s="252" t="s">
        <v>404</v>
      </c>
      <c r="C957" s="249">
        <v>51</v>
      </c>
      <c r="D957" s="249" t="s">
        <v>109</v>
      </c>
      <c r="E957" s="255" t="s">
        <v>84</v>
      </c>
      <c r="L957" s="264">
        <v>72100</v>
      </c>
      <c r="M957" s="264">
        <v>3800</v>
      </c>
      <c r="N957" s="264"/>
    </row>
    <row r="958" spans="1:14" hidden="1">
      <c r="E958" s="255" t="s">
        <v>226</v>
      </c>
      <c r="L958" s="264">
        <v>15000</v>
      </c>
      <c r="M958" s="264"/>
      <c r="N958" s="264"/>
    </row>
    <row r="959" spans="1:14" hidden="1">
      <c r="C959" s="249">
        <v>52</v>
      </c>
      <c r="D959" s="249" t="s">
        <v>69</v>
      </c>
      <c r="E959" s="255" t="s">
        <v>84</v>
      </c>
      <c r="L959" s="264">
        <v>4000</v>
      </c>
      <c r="M959" s="264">
        <v>1500</v>
      </c>
      <c r="N959" s="264"/>
    </row>
    <row r="960" spans="1:14" hidden="1">
      <c r="E960" s="255" t="s">
        <v>226</v>
      </c>
      <c r="L960" s="264">
        <v>49000</v>
      </c>
      <c r="M960" s="264">
        <v>11500</v>
      </c>
      <c r="N960" s="264"/>
    </row>
    <row r="961" spans="1:14" hidden="1">
      <c r="C961" s="249">
        <v>61</v>
      </c>
      <c r="D961" s="249" t="s">
        <v>276</v>
      </c>
      <c r="E961" s="255" t="s">
        <v>84</v>
      </c>
      <c r="L961" s="264">
        <v>2800</v>
      </c>
      <c r="M961" s="264"/>
      <c r="N961" s="264"/>
    </row>
    <row r="962" spans="1:14" ht="45" hidden="1">
      <c r="A962" s="249" t="s">
        <v>405</v>
      </c>
      <c r="B962" s="252" t="s">
        <v>406</v>
      </c>
      <c r="C962" s="249">
        <v>31</v>
      </c>
      <c r="D962" s="249" t="s">
        <v>333</v>
      </c>
      <c r="E962" s="255" t="s">
        <v>226</v>
      </c>
      <c r="L962" s="264">
        <v>383100</v>
      </c>
      <c r="M962" s="264">
        <v>353500</v>
      </c>
      <c r="N962" s="264">
        <v>367800</v>
      </c>
    </row>
    <row r="963" spans="1:14" hidden="1">
      <c r="E963" s="255" t="s">
        <v>192</v>
      </c>
      <c r="L963" s="264">
        <v>6000</v>
      </c>
      <c r="M963" s="264">
        <v>6000</v>
      </c>
      <c r="N963" s="264">
        <v>6000</v>
      </c>
    </row>
    <row r="964" spans="1:14" hidden="1">
      <c r="E964" s="255" t="s">
        <v>209</v>
      </c>
      <c r="L964" s="264">
        <v>15000</v>
      </c>
      <c r="M964" s="264">
        <v>15500</v>
      </c>
      <c r="N964" s="264">
        <v>15500</v>
      </c>
    </row>
    <row r="965" spans="1:14" hidden="1">
      <c r="E965" s="255" t="s">
        <v>215</v>
      </c>
      <c r="L965" s="264">
        <v>1000</v>
      </c>
      <c r="M965" s="264">
        <v>1000</v>
      </c>
      <c r="N965" s="264">
        <v>1000</v>
      </c>
    </row>
    <row r="966" spans="1:14" hidden="1">
      <c r="E966" s="255" t="s">
        <v>367</v>
      </c>
      <c r="L966" s="264">
        <v>25000</v>
      </c>
      <c r="M966" s="264">
        <v>27000</v>
      </c>
      <c r="N966" s="264">
        <v>30000</v>
      </c>
    </row>
    <row r="967" spans="1:14" hidden="1">
      <c r="C967" s="249">
        <v>43</v>
      </c>
      <c r="D967" s="249" t="s">
        <v>104</v>
      </c>
      <c r="E967" s="255" t="s">
        <v>84</v>
      </c>
      <c r="L967" s="264">
        <v>902000</v>
      </c>
      <c r="M967" s="264">
        <v>913900</v>
      </c>
      <c r="N967" s="264">
        <v>926050</v>
      </c>
    </row>
    <row r="968" spans="1:14" hidden="1">
      <c r="E968" s="255" t="s">
        <v>226</v>
      </c>
      <c r="L968" s="264">
        <v>97600</v>
      </c>
      <c r="M968" s="264">
        <v>97150</v>
      </c>
      <c r="N968" s="264">
        <v>99200</v>
      </c>
    </row>
    <row r="969" spans="1:14" hidden="1">
      <c r="C969" s="249">
        <v>51</v>
      </c>
      <c r="D969" s="249" t="s">
        <v>109</v>
      </c>
      <c r="E969" s="255" t="s">
        <v>226</v>
      </c>
      <c r="L969" s="264">
        <v>250000</v>
      </c>
      <c r="M969" s="264">
        <v>300000</v>
      </c>
      <c r="N969" s="264">
        <v>300000</v>
      </c>
    </row>
    <row r="970" spans="1:14" hidden="1">
      <c r="E970" s="255" t="s">
        <v>192</v>
      </c>
      <c r="L970" s="264">
        <v>15000</v>
      </c>
      <c r="M970" s="264"/>
      <c r="N970" s="264"/>
    </row>
    <row r="971" spans="1:14" hidden="1">
      <c r="E971" s="255" t="s">
        <v>283</v>
      </c>
      <c r="L971" s="264">
        <v>35000</v>
      </c>
      <c r="M971" s="264"/>
      <c r="N971" s="264"/>
    </row>
    <row r="972" spans="1:14" hidden="1">
      <c r="C972" s="249">
        <v>52</v>
      </c>
      <c r="D972" s="249" t="s">
        <v>69</v>
      </c>
      <c r="E972" s="255" t="s">
        <v>226</v>
      </c>
      <c r="L972" s="264">
        <v>140000</v>
      </c>
      <c r="M972" s="264"/>
      <c r="N972" s="264"/>
    </row>
    <row r="973" spans="1:14" hidden="1">
      <c r="C973" s="249">
        <v>61</v>
      </c>
      <c r="D973" s="249" t="s">
        <v>276</v>
      </c>
      <c r="E973" s="255" t="s">
        <v>84</v>
      </c>
      <c r="L973" s="264">
        <v>3000</v>
      </c>
      <c r="M973" s="264"/>
      <c r="N973" s="264"/>
    </row>
    <row r="974" spans="1:14" hidden="1">
      <c r="E974" s="255" t="s">
        <v>226</v>
      </c>
      <c r="L974" s="264">
        <v>5000</v>
      </c>
      <c r="M974" s="264">
        <v>3000</v>
      </c>
      <c r="N974" s="264">
        <v>3000</v>
      </c>
    </row>
    <row r="975" spans="1:14" hidden="1">
      <c r="E975" s="255" t="s">
        <v>192</v>
      </c>
      <c r="L975" s="264">
        <v>3200</v>
      </c>
      <c r="M975" s="264">
        <v>500</v>
      </c>
      <c r="N975" s="264">
        <v>100</v>
      </c>
    </row>
    <row r="976" spans="1:14" ht="30" hidden="1">
      <c r="A976" s="249" t="s">
        <v>388</v>
      </c>
      <c r="B976" s="252" t="s">
        <v>389</v>
      </c>
      <c r="C976" s="249">
        <v>12</v>
      </c>
      <c r="D976" s="249" t="s">
        <v>102</v>
      </c>
      <c r="E976" s="255" t="s">
        <v>84</v>
      </c>
      <c r="L976" s="264">
        <v>10271.449792951043</v>
      </c>
      <c r="M976" s="264"/>
      <c r="N976" s="264"/>
    </row>
    <row r="977" spans="1:14" hidden="1">
      <c r="C977" s="249">
        <v>561</v>
      </c>
      <c r="D977" s="249" t="s">
        <v>390</v>
      </c>
      <c r="E977" s="255" t="s">
        <v>84</v>
      </c>
      <c r="L977" s="264">
        <v>58204.882160055917</v>
      </c>
      <c r="M977" s="264"/>
      <c r="N977" s="264"/>
    </row>
    <row r="978" spans="1:14" ht="30" hidden="1">
      <c r="A978" s="249" t="s">
        <v>363</v>
      </c>
      <c r="B978" s="252" t="s">
        <v>364</v>
      </c>
      <c r="C978" s="249">
        <v>11</v>
      </c>
      <c r="D978" s="249" t="s">
        <v>100</v>
      </c>
      <c r="E978" s="255" t="s">
        <v>84</v>
      </c>
      <c r="L978" s="264">
        <v>3286491.5591526222</v>
      </c>
      <c r="M978" s="264">
        <v>3302101.4071286242</v>
      </c>
      <c r="N978" s="264">
        <v>3317791.220961025</v>
      </c>
    </row>
    <row r="979" spans="1:14" hidden="1">
      <c r="E979" s="255" t="s">
        <v>226</v>
      </c>
      <c r="L979" s="264">
        <v>60866.981275532351</v>
      </c>
      <c r="M979" s="264">
        <v>61156.081158300396</v>
      </c>
      <c r="N979" s="264">
        <v>61446.662036895315</v>
      </c>
    </row>
    <row r="980" spans="1:14" ht="30" hidden="1">
      <c r="A980" s="249" t="s">
        <v>381</v>
      </c>
      <c r="B980" s="252" t="s">
        <v>382</v>
      </c>
      <c r="C980" s="249">
        <v>11</v>
      </c>
      <c r="D980" s="249" t="s">
        <v>100</v>
      </c>
      <c r="E980" s="255" t="s">
        <v>226</v>
      </c>
      <c r="L980" s="264">
        <v>5375</v>
      </c>
      <c r="M980" s="264">
        <v>5375</v>
      </c>
      <c r="N980" s="264">
        <v>5375</v>
      </c>
    </row>
    <row r="981" spans="1:14" ht="30" hidden="1">
      <c r="A981" s="249" t="s">
        <v>365</v>
      </c>
      <c r="B981" s="252" t="s">
        <v>366</v>
      </c>
      <c r="C981" s="249">
        <v>11</v>
      </c>
      <c r="D981" s="249" t="s">
        <v>100</v>
      </c>
      <c r="E981" s="255" t="s">
        <v>226</v>
      </c>
      <c r="L981" s="264">
        <v>202933.68871229014</v>
      </c>
      <c r="M981" s="264">
        <v>202933.68871229014</v>
      </c>
      <c r="N981" s="264">
        <v>202933.68871229014</v>
      </c>
    </row>
    <row r="982" spans="1:14" ht="30" hidden="1">
      <c r="A982" s="249" t="s">
        <v>370</v>
      </c>
      <c r="B982" s="252" t="s">
        <v>371</v>
      </c>
      <c r="C982" s="249">
        <v>31</v>
      </c>
      <c r="D982" s="249" t="s">
        <v>333</v>
      </c>
      <c r="E982" s="255" t="s">
        <v>84</v>
      </c>
      <c r="L982" s="264">
        <v>25000</v>
      </c>
      <c r="M982" s="264">
        <v>25500</v>
      </c>
      <c r="N982" s="264">
        <v>25500</v>
      </c>
    </row>
    <row r="983" spans="1:14" hidden="1">
      <c r="E983" s="255" t="s">
        <v>226</v>
      </c>
      <c r="L983" s="264">
        <v>28400</v>
      </c>
      <c r="M983" s="264">
        <v>29300</v>
      </c>
      <c r="N983" s="264">
        <v>29300</v>
      </c>
    </row>
    <row r="984" spans="1:14" hidden="1">
      <c r="E984" s="255" t="s">
        <v>367</v>
      </c>
      <c r="L984" s="264">
        <v>17300</v>
      </c>
      <c r="M984" s="264">
        <v>15500</v>
      </c>
      <c r="N984" s="264">
        <v>15600</v>
      </c>
    </row>
    <row r="985" spans="1:14" hidden="1">
      <c r="C985" s="249">
        <v>43</v>
      </c>
      <c r="D985" s="249" t="s">
        <v>104</v>
      </c>
      <c r="E985" s="255" t="s">
        <v>84</v>
      </c>
      <c r="L985" s="264">
        <v>34000</v>
      </c>
      <c r="M985" s="264">
        <v>35000</v>
      </c>
      <c r="N985" s="264">
        <v>35000</v>
      </c>
    </row>
    <row r="986" spans="1:14" hidden="1">
      <c r="E986" s="255" t="s">
        <v>226</v>
      </c>
      <c r="L986" s="264">
        <v>79350</v>
      </c>
      <c r="M986" s="264">
        <v>81100</v>
      </c>
      <c r="N986" s="264">
        <v>81100</v>
      </c>
    </row>
    <row r="987" spans="1:14" hidden="1">
      <c r="E987" s="255" t="s">
        <v>192</v>
      </c>
      <c r="L987" s="264">
        <v>1800</v>
      </c>
      <c r="M987" s="264">
        <v>1500</v>
      </c>
      <c r="N987" s="264">
        <v>1500</v>
      </c>
    </row>
    <row r="988" spans="1:14" hidden="1">
      <c r="E988" s="255" t="s">
        <v>215</v>
      </c>
      <c r="L988" s="264">
        <v>1950</v>
      </c>
      <c r="M988" s="264">
        <v>2000</v>
      </c>
      <c r="N988" s="264">
        <v>2000</v>
      </c>
    </row>
    <row r="989" spans="1:14" hidden="1">
      <c r="E989" s="255" t="s">
        <v>367</v>
      </c>
      <c r="L989" s="264">
        <v>9000</v>
      </c>
      <c r="M989" s="264">
        <v>9500</v>
      </c>
      <c r="N989" s="264">
        <v>9500</v>
      </c>
    </row>
    <row r="990" spans="1:14" hidden="1">
      <c r="C990" s="249">
        <v>52</v>
      </c>
      <c r="D990" s="249" t="s">
        <v>69</v>
      </c>
      <c r="E990" s="255" t="s">
        <v>84</v>
      </c>
      <c r="L990" s="264">
        <v>24415</v>
      </c>
      <c r="M990" s="264">
        <v>11120</v>
      </c>
      <c r="N990" s="264">
        <v>0</v>
      </c>
    </row>
    <row r="991" spans="1:14" hidden="1">
      <c r="E991" s="255" t="s">
        <v>226</v>
      </c>
      <c r="L991" s="264">
        <v>10315</v>
      </c>
      <c r="M991" s="264">
        <v>4448</v>
      </c>
      <c r="N991" s="264">
        <v>0</v>
      </c>
    </row>
    <row r="992" spans="1:14" hidden="1">
      <c r="C992" s="249">
        <v>61</v>
      </c>
      <c r="D992" s="249" t="s">
        <v>276</v>
      </c>
      <c r="E992" s="255" t="s">
        <v>226</v>
      </c>
      <c r="L992" s="264">
        <v>5520</v>
      </c>
      <c r="M992" s="264">
        <v>4110</v>
      </c>
      <c r="N992" s="264">
        <v>4340</v>
      </c>
    </row>
    <row r="993" spans="1:14" ht="45" hidden="1">
      <c r="A993" s="249" t="s">
        <v>375</v>
      </c>
      <c r="B993" s="252" t="s">
        <v>376</v>
      </c>
      <c r="C993" s="249">
        <v>5761</v>
      </c>
      <c r="D993" s="249" t="s">
        <v>377</v>
      </c>
      <c r="E993" s="255" t="s">
        <v>226</v>
      </c>
      <c r="L993" s="264">
        <v>54077.607260931705</v>
      </c>
      <c r="M993" s="264">
        <v>0</v>
      </c>
      <c r="N993" s="264">
        <v>0</v>
      </c>
    </row>
    <row r="994" spans="1:14" hidden="1">
      <c r="E994" s="255" t="s">
        <v>283</v>
      </c>
      <c r="L994" s="264">
        <v>507793.30985570687</v>
      </c>
      <c r="M994" s="264">
        <v>0</v>
      </c>
      <c r="N994" s="264">
        <v>0</v>
      </c>
    </row>
    <row r="995" spans="1:14" ht="45" hidden="1">
      <c r="A995" s="249" t="s">
        <v>378</v>
      </c>
      <c r="B995" s="252" t="s">
        <v>379</v>
      </c>
      <c r="C995" s="249">
        <v>581</v>
      </c>
      <c r="D995" s="249" t="s">
        <v>380</v>
      </c>
      <c r="E995" s="255" t="s">
        <v>226</v>
      </c>
      <c r="L995" s="264">
        <v>0</v>
      </c>
      <c r="M995" s="264">
        <v>0</v>
      </c>
      <c r="N995" s="264">
        <v>0</v>
      </c>
    </row>
    <row r="996" spans="1:14" hidden="1">
      <c r="E996" s="255" t="s">
        <v>283</v>
      </c>
      <c r="L996" s="264">
        <v>0</v>
      </c>
      <c r="M996" s="264">
        <v>0</v>
      </c>
      <c r="N996" s="264">
        <v>0</v>
      </c>
    </row>
    <row r="997" spans="1:14" ht="30" hidden="1">
      <c r="A997" s="249" t="s">
        <v>407</v>
      </c>
      <c r="B997" s="252" t="s">
        <v>408</v>
      </c>
      <c r="C997" s="249">
        <v>11</v>
      </c>
      <c r="D997" s="249" t="s">
        <v>100</v>
      </c>
      <c r="E997" s="255" t="s">
        <v>84</v>
      </c>
      <c r="L997" s="264">
        <v>5616904.3082609614</v>
      </c>
      <c r="M997" s="264">
        <v>5643673.6641426627</v>
      </c>
      <c r="N997" s="264">
        <v>5670568.4721649094</v>
      </c>
    </row>
    <row r="998" spans="1:14" hidden="1">
      <c r="E998" s="255" t="s">
        <v>226</v>
      </c>
      <c r="L998" s="264">
        <v>142250.18241847696</v>
      </c>
      <c r="M998" s="264">
        <v>142928.12627302983</v>
      </c>
      <c r="N998" s="264">
        <v>143609.24724951645</v>
      </c>
    </row>
    <row r="999" spans="1:14" ht="30" hidden="1">
      <c r="A999" s="249" t="s">
        <v>365</v>
      </c>
      <c r="B999" s="252" t="s">
        <v>366</v>
      </c>
      <c r="C999" s="249">
        <v>11</v>
      </c>
      <c r="D999" s="249" t="s">
        <v>100</v>
      </c>
      <c r="E999" s="255" t="s">
        <v>226</v>
      </c>
      <c r="L999" s="264">
        <v>454895.35292227776</v>
      </c>
      <c r="M999" s="264">
        <v>454895.35292227776</v>
      </c>
      <c r="N999" s="264">
        <v>454895.35292227776</v>
      </c>
    </row>
    <row r="1000" spans="1:14" hidden="1">
      <c r="E1000" s="255" t="s">
        <v>192</v>
      </c>
      <c r="L1000" s="264">
        <v>2889.5349096696414</v>
      </c>
      <c r="M1000" s="264">
        <v>2889.5349096696414</v>
      </c>
      <c r="N1000" s="264">
        <v>2889.5349096696414</v>
      </c>
    </row>
    <row r="1001" spans="1:14" hidden="1">
      <c r="E1001" s="255" t="s">
        <v>367</v>
      </c>
      <c r="L1001" s="264">
        <v>77971.210002525593</v>
      </c>
      <c r="M1001" s="264">
        <v>77971.210002525593</v>
      </c>
      <c r="N1001" s="264">
        <v>77971.210002525593</v>
      </c>
    </row>
    <row r="1002" spans="1:14" ht="30" hidden="1">
      <c r="A1002" s="249" t="s">
        <v>409</v>
      </c>
      <c r="B1002" s="252" t="s">
        <v>410</v>
      </c>
      <c r="C1002" s="249">
        <v>51</v>
      </c>
      <c r="D1002" s="249" t="s">
        <v>109</v>
      </c>
      <c r="E1002" s="255" t="s">
        <v>226</v>
      </c>
      <c r="L1002" s="264">
        <v>41885</v>
      </c>
      <c r="M1002" s="264">
        <v>29265</v>
      </c>
      <c r="N1002" s="264">
        <v>7930</v>
      </c>
    </row>
    <row r="1003" spans="1:14" hidden="1">
      <c r="E1003" s="255" t="s">
        <v>367</v>
      </c>
      <c r="L1003" s="264">
        <v>45000</v>
      </c>
      <c r="M1003" s="264">
        <v>0</v>
      </c>
      <c r="N1003" s="264">
        <v>0</v>
      </c>
    </row>
    <row r="1004" spans="1:14" hidden="1">
      <c r="C1004" s="249">
        <v>52</v>
      </c>
      <c r="D1004" s="249" t="s">
        <v>69</v>
      </c>
      <c r="E1004" s="255" t="s">
        <v>84</v>
      </c>
      <c r="L1004" s="264">
        <v>104323</v>
      </c>
      <c r="M1004" s="264">
        <v>12338</v>
      </c>
      <c r="N1004" s="264">
        <v>0</v>
      </c>
    </row>
    <row r="1005" spans="1:14" hidden="1">
      <c r="E1005" s="255" t="s">
        <v>226</v>
      </c>
      <c r="L1005" s="264">
        <v>182415</v>
      </c>
      <c r="M1005" s="264">
        <v>16722</v>
      </c>
      <c r="N1005" s="264">
        <v>0</v>
      </c>
    </row>
    <row r="1006" spans="1:14" hidden="1">
      <c r="E1006" s="255" t="s">
        <v>204</v>
      </c>
      <c r="L1006" s="264">
        <v>135158</v>
      </c>
      <c r="M1006" s="264">
        <v>0</v>
      </c>
      <c r="N1006" s="264">
        <v>47463</v>
      </c>
    </row>
    <row r="1007" spans="1:14" hidden="1">
      <c r="E1007" s="255" t="s">
        <v>367</v>
      </c>
      <c r="L1007" s="264">
        <v>68210</v>
      </c>
      <c r="M1007" s="264">
        <v>0</v>
      </c>
      <c r="N1007" s="264">
        <v>0</v>
      </c>
    </row>
    <row r="1008" spans="1:14" hidden="1">
      <c r="C1008" s="249">
        <v>61</v>
      </c>
      <c r="D1008" s="249" t="s">
        <v>276</v>
      </c>
      <c r="E1008" s="255" t="s">
        <v>84</v>
      </c>
      <c r="L1008" s="264">
        <v>76898</v>
      </c>
      <c r="M1008" s="264">
        <v>0</v>
      </c>
      <c r="N1008" s="264">
        <v>0</v>
      </c>
    </row>
    <row r="1009" spans="1:14" hidden="1">
      <c r="E1009" s="255" t="s">
        <v>226</v>
      </c>
      <c r="L1009" s="264">
        <v>48678</v>
      </c>
      <c r="M1009" s="264">
        <v>13405</v>
      </c>
      <c r="N1009" s="264">
        <v>0</v>
      </c>
    </row>
    <row r="1010" spans="1:14" hidden="1">
      <c r="E1010" s="255" t="s">
        <v>367</v>
      </c>
      <c r="L1010" s="264">
        <v>8652</v>
      </c>
      <c r="M1010" s="264">
        <v>0</v>
      </c>
      <c r="N1010" s="264">
        <v>0</v>
      </c>
    </row>
    <row r="1011" spans="1:14" ht="30" hidden="1">
      <c r="A1011" s="249" t="s">
        <v>411</v>
      </c>
      <c r="B1011" s="252" t="s">
        <v>412</v>
      </c>
      <c r="C1011" s="249">
        <v>31</v>
      </c>
      <c r="D1011" s="249" t="s">
        <v>333</v>
      </c>
      <c r="E1011" s="255" t="s">
        <v>84</v>
      </c>
      <c r="L1011" s="264">
        <v>81094</v>
      </c>
      <c r="M1011" s="264">
        <v>82311</v>
      </c>
      <c r="N1011" s="264">
        <v>83156</v>
      </c>
    </row>
    <row r="1012" spans="1:14" hidden="1">
      <c r="E1012" s="255" t="s">
        <v>226</v>
      </c>
      <c r="L1012" s="264">
        <v>253878</v>
      </c>
      <c r="M1012" s="264">
        <v>257688</v>
      </c>
      <c r="N1012" s="264">
        <v>260330</v>
      </c>
    </row>
    <row r="1013" spans="1:14" hidden="1">
      <c r="E1013" s="255" t="s">
        <v>192</v>
      </c>
      <c r="L1013" s="264">
        <v>2323</v>
      </c>
      <c r="M1013" s="264">
        <v>2358</v>
      </c>
      <c r="N1013" s="264">
        <v>2380</v>
      </c>
    </row>
    <row r="1014" spans="1:14" hidden="1">
      <c r="E1014" s="255" t="s">
        <v>204</v>
      </c>
      <c r="L1014" s="264">
        <v>10770</v>
      </c>
      <c r="M1014" s="264">
        <v>11000</v>
      </c>
      <c r="N1014" s="264">
        <v>11000</v>
      </c>
    </row>
    <row r="1015" spans="1:14" hidden="1">
      <c r="E1015" s="255" t="s">
        <v>367</v>
      </c>
      <c r="L1015" s="264">
        <v>10286</v>
      </c>
      <c r="M1015" s="264">
        <v>10441</v>
      </c>
      <c r="N1015" s="264">
        <v>10570</v>
      </c>
    </row>
    <row r="1016" spans="1:14" hidden="1">
      <c r="C1016" s="249">
        <v>43</v>
      </c>
      <c r="D1016" s="249" t="s">
        <v>104</v>
      </c>
      <c r="E1016" s="255" t="s">
        <v>84</v>
      </c>
      <c r="L1016" s="264">
        <v>185448</v>
      </c>
      <c r="M1016" s="264">
        <v>179346</v>
      </c>
      <c r="N1016" s="264">
        <v>179350</v>
      </c>
    </row>
    <row r="1017" spans="1:14" hidden="1">
      <c r="E1017" s="255" t="s">
        <v>226</v>
      </c>
      <c r="L1017" s="264">
        <v>274745</v>
      </c>
      <c r="M1017" s="264">
        <v>251991</v>
      </c>
      <c r="N1017" s="264">
        <v>260076</v>
      </c>
    </row>
    <row r="1018" spans="1:14" hidden="1">
      <c r="E1018" s="255" t="s">
        <v>192</v>
      </c>
      <c r="L1018" s="264">
        <v>4645</v>
      </c>
      <c r="M1018" s="264">
        <v>4500</v>
      </c>
      <c r="N1018" s="264">
        <v>4600</v>
      </c>
    </row>
    <row r="1019" spans="1:14" hidden="1">
      <c r="E1019" s="255" t="s">
        <v>204</v>
      </c>
      <c r="L1019" s="264">
        <v>17230</v>
      </c>
      <c r="M1019" s="264">
        <v>19700</v>
      </c>
      <c r="N1019" s="264">
        <v>19700</v>
      </c>
    </row>
    <row r="1020" spans="1:14" hidden="1">
      <c r="E1020" s="255" t="s">
        <v>367</v>
      </c>
      <c r="L1020" s="264">
        <v>241742</v>
      </c>
      <c r="M1020" s="264">
        <v>172459</v>
      </c>
      <c r="N1020" s="264">
        <v>170549</v>
      </c>
    </row>
    <row r="1021" spans="1:14" hidden="1">
      <c r="C1021" s="249">
        <v>52</v>
      </c>
      <c r="D1021" s="249" t="s">
        <v>69</v>
      </c>
      <c r="E1021" s="255" t="s">
        <v>84</v>
      </c>
      <c r="L1021" s="264">
        <v>198554</v>
      </c>
      <c r="M1021" s="264">
        <v>189202</v>
      </c>
      <c r="N1021" s="264">
        <v>130590</v>
      </c>
    </row>
    <row r="1022" spans="1:14" hidden="1">
      <c r="E1022" s="255" t="s">
        <v>226</v>
      </c>
      <c r="L1022" s="264">
        <v>117765</v>
      </c>
      <c r="M1022" s="264">
        <v>60033</v>
      </c>
      <c r="N1022" s="264">
        <v>37169</v>
      </c>
    </row>
    <row r="1023" spans="1:14" hidden="1">
      <c r="E1023" s="255" t="s">
        <v>367</v>
      </c>
      <c r="L1023" s="264">
        <v>69241</v>
      </c>
      <c r="M1023" s="264">
        <v>35181</v>
      </c>
      <c r="N1023" s="264">
        <v>27652</v>
      </c>
    </row>
    <row r="1024" spans="1:14" hidden="1">
      <c r="C1024" s="249">
        <v>61</v>
      </c>
      <c r="D1024" s="249" t="s">
        <v>276</v>
      </c>
      <c r="E1024" s="255" t="s">
        <v>226</v>
      </c>
      <c r="L1024" s="264">
        <v>6637</v>
      </c>
      <c r="M1024" s="264">
        <v>6637</v>
      </c>
      <c r="N1024" s="264">
        <v>6637</v>
      </c>
    </row>
    <row r="1025" spans="1:14" hidden="1">
      <c r="E1025" s="255" t="s">
        <v>367</v>
      </c>
      <c r="L1025" s="264">
        <v>19908</v>
      </c>
      <c r="M1025" s="264">
        <v>19908</v>
      </c>
      <c r="N1025" s="264">
        <v>19908</v>
      </c>
    </row>
    <row r="1026" spans="1:14" hidden="1">
      <c r="C1026" s="249">
        <v>71</v>
      </c>
      <c r="D1026" s="249" t="s">
        <v>387</v>
      </c>
      <c r="E1026" s="255" t="s">
        <v>226</v>
      </c>
      <c r="L1026" s="264">
        <v>700</v>
      </c>
      <c r="M1026" s="264">
        <v>0</v>
      </c>
      <c r="N1026" s="264">
        <v>0</v>
      </c>
    </row>
    <row r="1027" spans="1:14" ht="30" hidden="1">
      <c r="A1027" s="249" t="s">
        <v>407</v>
      </c>
      <c r="B1027" s="252" t="s">
        <v>408</v>
      </c>
      <c r="C1027" s="249">
        <v>11</v>
      </c>
      <c r="D1027" s="249" t="s">
        <v>100</v>
      </c>
      <c r="E1027" s="255" t="s">
        <v>84</v>
      </c>
      <c r="L1027" s="264">
        <v>2467869.593989382</v>
      </c>
      <c r="M1027" s="264">
        <v>2479631.1045662975</v>
      </c>
      <c r="N1027" s="264">
        <v>2491447.7343879361</v>
      </c>
    </row>
    <row r="1028" spans="1:14" hidden="1">
      <c r="E1028" s="255" t="s">
        <v>226</v>
      </c>
      <c r="L1028" s="264">
        <v>40431.625043878055</v>
      </c>
      <c r="M1028" s="264">
        <v>40624.316337921155</v>
      </c>
      <c r="N1028" s="264">
        <v>40817.910662108465</v>
      </c>
    </row>
    <row r="1029" spans="1:14" hidden="1">
      <c r="A1029" s="249" t="s">
        <v>383</v>
      </c>
      <c r="B1029" s="252" t="s">
        <v>384</v>
      </c>
      <c r="C1029" s="249">
        <v>11</v>
      </c>
      <c r="D1029" s="249" t="s">
        <v>100</v>
      </c>
      <c r="E1029" s="255" t="s">
        <v>84</v>
      </c>
      <c r="L1029" s="264">
        <v>18134.417414399999</v>
      </c>
      <c r="M1029" s="264">
        <v>18134.417414399999</v>
      </c>
      <c r="N1029" s="264">
        <v>18134.417414399999</v>
      </c>
    </row>
    <row r="1030" spans="1:14" hidden="1">
      <c r="E1030" s="255" t="s">
        <v>226</v>
      </c>
      <c r="L1030" s="264">
        <v>4533.6043535999997</v>
      </c>
      <c r="M1030" s="264">
        <v>4533.6043535999997</v>
      </c>
      <c r="N1030" s="264">
        <v>4533.6043535999997</v>
      </c>
    </row>
    <row r="1031" spans="1:14" hidden="1">
      <c r="E1031" s="255" t="s">
        <v>192</v>
      </c>
      <c r="L1031" s="264">
        <v>6126.7384136000001</v>
      </c>
      <c r="M1031" s="264">
        <v>6126.7384136000001</v>
      </c>
      <c r="N1031" s="264">
        <v>6126.7384136000001</v>
      </c>
    </row>
    <row r="1032" spans="1:14" ht="30" hidden="1">
      <c r="A1032" s="249" t="s">
        <v>365</v>
      </c>
      <c r="B1032" s="252" t="s">
        <v>366</v>
      </c>
      <c r="C1032" s="249">
        <v>11</v>
      </c>
      <c r="D1032" s="249" t="s">
        <v>100</v>
      </c>
      <c r="E1032" s="255" t="s">
        <v>226</v>
      </c>
      <c r="L1032" s="264">
        <v>214046.01355009119</v>
      </c>
      <c r="M1032" s="264">
        <v>214046.01355009119</v>
      </c>
      <c r="N1032" s="264">
        <v>214046.01355009119</v>
      </c>
    </row>
    <row r="1033" spans="1:14" hidden="1">
      <c r="E1033" s="255" t="s">
        <v>192</v>
      </c>
      <c r="L1033" s="264">
        <v>876.76744973404539</v>
      </c>
      <c r="M1033" s="264">
        <v>876.76744973404539</v>
      </c>
      <c r="N1033" s="264">
        <v>876.76744973404539</v>
      </c>
    </row>
    <row r="1034" spans="1:14" hidden="1">
      <c r="E1034" s="255" t="s">
        <v>283</v>
      </c>
      <c r="L1034" s="264">
        <v>4127.9070138137731</v>
      </c>
      <c r="M1034" s="264">
        <v>4127.9070138137731</v>
      </c>
      <c r="N1034" s="264">
        <v>4127.9070138137731</v>
      </c>
    </row>
    <row r="1035" spans="1:14" hidden="1">
      <c r="E1035" s="255" t="s">
        <v>367</v>
      </c>
      <c r="L1035" s="264">
        <v>9845.0582279458486</v>
      </c>
      <c r="M1035" s="264">
        <v>9845.0582279458486</v>
      </c>
      <c r="N1035" s="264">
        <v>9845.0582279458486</v>
      </c>
    </row>
    <row r="1036" spans="1:14" ht="30" hidden="1">
      <c r="A1036" s="249" t="s">
        <v>409</v>
      </c>
      <c r="B1036" s="252" t="s">
        <v>410</v>
      </c>
      <c r="C1036" s="249">
        <v>51</v>
      </c>
      <c r="D1036" s="249" t="s">
        <v>109</v>
      </c>
      <c r="E1036" s="255" t="s">
        <v>84</v>
      </c>
      <c r="L1036" s="264">
        <v>26795</v>
      </c>
      <c r="M1036" s="264"/>
      <c r="N1036" s="264"/>
    </row>
    <row r="1037" spans="1:14" hidden="1">
      <c r="E1037" s="255" t="s">
        <v>226</v>
      </c>
      <c r="L1037" s="264">
        <v>8339</v>
      </c>
      <c r="M1037" s="264">
        <v>9602</v>
      </c>
      <c r="N1037" s="264"/>
    </row>
    <row r="1038" spans="1:14" hidden="1">
      <c r="E1038" s="255" t="s">
        <v>367</v>
      </c>
      <c r="L1038" s="264">
        <v>6323</v>
      </c>
      <c r="M1038" s="264">
        <v>19200</v>
      </c>
      <c r="N1038" s="264"/>
    </row>
    <row r="1039" spans="1:14" hidden="1">
      <c r="C1039" s="249">
        <v>52</v>
      </c>
      <c r="D1039" s="249" t="s">
        <v>69</v>
      </c>
      <c r="E1039" s="255" t="s">
        <v>84</v>
      </c>
      <c r="L1039" s="264">
        <v>48097</v>
      </c>
      <c r="M1039" s="264"/>
      <c r="N1039" s="264"/>
    </row>
    <row r="1040" spans="1:14" hidden="1">
      <c r="E1040" s="255" t="s">
        <v>226</v>
      </c>
      <c r="L1040" s="264">
        <v>14852</v>
      </c>
      <c r="M1040" s="264"/>
      <c r="N1040" s="264"/>
    </row>
    <row r="1041" spans="1:14" hidden="1">
      <c r="C1041" s="249">
        <v>61</v>
      </c>
      <c r="D1041" s="249" t="s">
        <v>276</v>
      </c>
      <c r="E1041" s="255" t="s">
        <v>84</v>
      </c>
      <c r="L1041" s="264">
        <v>48400</v>
      </c>
      <c r="M1041" s="264"/>
      <c r="N1041" s="264"/>
    </row>
    <row r="1042" spans="1:14" hidden="1">
      <c r="E1042" s="255" t="s">
        <v>226</v>
      </c>
      <c r="L1042" s="264">
        <v>20883</v>
      </c>
      <c r="M1042" s="264"/>
      <c r="N1042" s="264"/>
    </row>
    <row r="1043" spans="1:14" ht="30" hidden="1">
      <c r="A1043" s="249" t="s">
        <v>411</v>
      </c>
      <c r="B1043" s="252" t="s">
        <v>412</v>
      </c>
      <c r="C1043" s="249">
        <v>31</v>
      </c>
      <c r="D1043" s="249" t="s">
        <v>333</v>
      </c>
      <c r="E1043" s="255" t="s">
        <v>84</v>
      </c>
      <c r="L1043" s="264">
        <v>69812</v>
      </c>
      <c r="M1043" s="264">
        <v>72075</v>
      </c>
      <c r="N1043" s="264">
        <v>72075</v>
      </c>
    </row>
    <row r="1044" spans="1:14" hidden="1">
      <c r="E1044" s="255" t="s">
        <v>226</v>
      </c>
      <c r="L1044" s="264">
        <v>180245</v>
      </c>
      <c r="M1044" s="264">
        <v>181325</v>
      </c>
      <c r="N1044" s="264">
        <v>183675</v>
      </c>
    </row>
    <row r="1045" spans="1:14" hidden="1">
      <c r="E1045" s="255" t="s">
        <v>204</v>
      </c>
      <c r="L1045" s="264">
        <v>7980</v>
      </c>
      <c r="M1045" s="264">
        <v>8100</v>
      </c>
      <c r="N1045" s="264">
        <v>8250</v>
      </c>
    </row>
    <row r="1046" spans="1:14" hidden="1">
      <c r="E1046" s="255" t="s">
        <v>283</v>
      </c>
      <c r="L1046" s="264">
        <v>2654</v>
      </c>
      <c r="M1046" s="264">
        <v>3000</v>
      </c>
      <c r="N1046" s="264">
        <v>3000</v>
      </c>
    </row>
    <row r="1047" spans="1:14" hidden="1">
      <c r="E1047" s="255" t="s">
        <v>367</v>
      </c>
      <c r="L1047" s="264">
        <v>5309</v>
      </c>
      <c r="M1047" s="264">
        <v>5500</v>
      </c>
      <c r="N1047" s="264">
        <v>8000</v>
      </c>
    </row>
    <row r="1048" spans="1:14" hidden="1">
      <c r="C1048" s="249">
        <v>43</v>
      </c>
      <c r="D1048" s="249" t="s">
        <v>104</v>
      </c>
      <c r="E1048" s="255" t="s">
        <v>84</v>
      </c>
      <c r="L1048" s="264">
        <v>62546</v>
      </c>
      <c r="M1048" s="264">
        <v>63610</v>
      </c>
      <c r="N1048" s="264">
        <v>64190</v>
      </c>
    </row>
    <row r="1049" spans="1:14" hidden="1">
      <c r="E1049" s="255" t="s">
        <v>226</v>
      </c>
      <c r="L1049" s="264">
        <v>311162</v>
      </c>
      <c r="M1049" s="264">
        <v>318080</v>
      </c>
      <c r="N1049" s="264">
        <v>317980</v>
      </c>
    </row>
    <row r="1050" spans="1:14" hidden="1">
      <c r="E1050" s="255" t="s">
        <v>192</v>
      </c>
      <c r="L1050" s="264">
        <v>1062</v>
      </c>
      <c r="M1050" s="264">
        <v>1100</v>
      </c>
      <c r="N1050" s="264">
        <v>1100</v>
      </c>
    </row>
    <row r="1051" spans="1:14" hidden="1">
      <c r="E1051" s="255" t="s">
        <v>204</v>
      </c>
      <c r="L1051" s="264">
        <v>11500</v>
      </c>
      <c r="M1051" s="264">
        <v>11700</v>
      </c>
      <c r="N1051" s="264">
        <v>11800</v>
      </c>
    </row>
    <row r="1052" spans="1:14" hidden="1">
      <c r="E1052" s="255" t="s">
        <v>367</v>
      </c>
      <c r="L1052" s="264">
        <v>23308</v>
      </c>
      <c r="M1052" s="264">
        <v>23400</v>
      </c>
      <c r="N1052" s="264">
        <v>23400</v>
      </c>
    </row>
    <row r="1053" spans="1:14" hidden="1">
      <c r="C1053" s="249">
        <v>52</v>
      </c>
      <c r="D1053" s="249" t="s">
        <v>69</v>
      </c>
      <c r="E1053" s="255" t="s">
        <v>84</v>
      </c>
      <c r="L1053" s="264">
        <v>140587</v>
      </c>
      <c r="M1053" s="264">
        <v>123506</v>
      </c>
      <c r="N1053" s="264">
        <v>68779</v>
      </c>
    </row>
    <row r="1054" spans="1:14" hidden="1">
      <c r="E1054" s="255" t="s">
        <v>226</v>
      </c>
      <c r="L1054" s="264">
        <v>36954</v>
      </c>
      <c r="M1054" s="264">
        <v>16767</v>
      </c>
      <c r="N1054" s="264">
        <v>12736</v>
      </c>
    </row>
    <row r="1055" spans="1:14" hidden="1">
      <c r="E1055" s="255" t="s">
        <v>209</v>
      </c>
      <c r="L1055" s="264">
        <v>5973</v>
      </c>
      <c r="M1055" s="264"/>
      <c r="N1055" s="264"/>
    </row>
    <row r="1056" spans="1:14" hidden="1">
      <c r="E1056" s="255" t="s">
        <v>367</v>
      </c>
      <c r="L1056" s="264">
        <v>8500</v>
      </c>
      <c r="M1056" s="264">
        <v>8500</v>
      </c>
      <c r="N1056" s="264">
        <v>8500</v>
      </c>
    </row>
    <row r="1057" spans="1:14" ht="30" hidden="1">
      <c r="A1057" s="249" t="s">
        <v>407</v>
      </c>
      <c r="B1057" s="252" t="s">
        <v>408</v>
      </c>
      <c r="C1057" s="249">
        <v>11</v>
      </c>
      <c r="D1057" s="249" t="s">
        <v>100</v>
      </c>
      <c r="E1057" s="255" t="s">
        <v>84</v>
      </c>
      <c r="L1057" s="264">
        <v>3280643.5019995701</v>
      </c>
      <c r="M1057" s="264">
        <v>3296278.5758064818</v>
      </c>
      <c r="N1057" s="264">
        <v>3311986.9219582831</v>
      </c>
    </row>
    <row r="1058" spans="1:14" hidden="1">
      <c r="E1058" s="255" t="s">
        <v>226</v>
      </c>
      <c r="L1058" s="264">
        <v>54788.818369204957</v>
      </c>
      <c r="M1058" s="264">
        <v>55049.933976089364</v>
      </c>
      <c r="N1058" s="264">
        <v>55312.273277408465</v>
      </c>
    </row>
    <row r="1059" spans="1:14" hidden="1">
      <c r="A1059" s="249" t="s">
        <v>383</v>
      </c>
      <c r="B1059" s="252" t="s">
        <v>384</v>
      </c>
      <c r="C1059" s="249">
        <v>11</v>
      </c>
      <c r="D1059" s="249" t="s">
        <v>100</v>
      </c>
      <c r="E1059" s="255" t="s">
        <v>84</v>
      </c>
      <c r="L1059" s="264">
        <v>3481.4856152000002</v>
      </c>
      <c r="M1059" s="264">
        <v>3481.4856152000002</v>
      </c>
      <c r="N1059" s="264">
        <v>3481.4856152000002</v>
      </c>
    </row>
    <row r="1060" spans="1:14" ht="30" hidden="1">
      <c r="A1060" s="249" t="s">
        <v>365</v>
      </c>
      <c r="B1060" s="252" t="s">
        <v>366</v>
      </c>
      <c r="C1060" s="249">
        <v>11</v>
      </c>
      <c r="D1060" s="249" t="s">
        <v>100</v>
      </c>
      <c r="E1060" s="255" t="s">
        <v>226</v>
      </c>
      <c r="L1060" s="264">
        <v>399702.7594033794</v>
      </c>
      <c r="M1060" s="264">
        <v>399702.7594033794</v>
      </c>
      <c r="N1060" s="264">
        <v>399702.7594033794</v>
      </c>
    </row>
    <row r="1061" spans="1:14" hidden="1">
      <c r="E1061" s="255" t="s">
        <v>192</v>
      </c>
      <c r="L1061" s="264">
        <v>1898.8372263543358</v>
      </c>
      <c r="M1061" s="264">
        <v>1898.8372263543358</v>
      </c>
      <c r="N1061" s="264">
        <v>1898.8372263543358</v>
      </c>
    </row>
    <row r="1062" spans="1:14" hidden="1">
      <c r="E1062" s="255" t="s">
        <v>209</v>
      </c>
      <c r="L1062" s="264">
        <v>660.46512221020373</v>
      </c>
      <c r="M1062" s="264">
        <v>660.46512221020373</v>
      </c>
      <c r="N1062" s="264">
        <v>660.46512221020373</v>
      </c>
    </row>
    <row r="1063" spans="1:14" hidden="1">
      <c r="E1063" s="255" t="s">
        <v>367</v>
      </c>
      <c r="L1063" s="264">
        <v>32362.790988299981</v>
      </c>
      <c r="M1063" s="264">
        <v>32362.790988299981</v>
      </c>
      <c r="N1063" s="264">
        <v>32362.790988299981</v>
      </c>
    </row>
    <row r="1064" spans="1:14" ht="30" hidden="1">
      <c r="A1064" s="249" t="s">
        <v>409</v>
      </c>
      <c r="B1064" s="252" t="s">
        <v>410</v>
      </c>
      <c r="C1064" s="249">
        <v>51</v>
      </c>
      <c r="D1064" s="249" t="s">
        <v>109</v>
      </c>
      <c r="E1064" s="255" t="s">
        <v>84</v>
      </c>
      <c r="L1064" s="264">
        <v>19893</v>
      </c>
      <c r="M1064" s="264">
        <v>6623</v>
      </c>
      <c r="N1064" s="264">
        <v>0</v>
      </c>
    </row>
    <row r="1065" spans="1:14" hidden="1">
      <c r="C1065" s="249">
        <v>52</v>
      </c>
      <c r="D1065" s="249" t="s">
        <v>69</v>
      </c>
      <c r="E1065" s="255" t="s">
        <v>84</v>
      </c>
      <c r="L1065" s="264">
        <v>12525</v>
      </c>
      <c r="M1065" s="264">
        <v>9115</v>
      </c>
      <c r="N1065" s="264">
        <v>12525</v>
      </c>
    </row>
    <row r="1066" spans="1:14" hidden="1">
      <c r="E1066" s="255" t="s">
        <v>226</v>
      </c>
      <c r="L1066" s="264">
        <v>8307</v>
      </c>
      <c r="M1066" s="264">
        <v>0</v>
      </c>
      <c r="N1066" s="264">
        <v>0</v>
      </c>
    </row>
    <row r="1067" spans="1:14" hidden="1">
      <c r="E1067" s="255" t="s">
        <v>264</v>
      </c>
      <c r="L1067" s="264">
        <v>38514</v>
      </c>
      <c r="M1067" s="264">
        <v>19256</v>
      </c>
      <c r="N1067" s="264"/>
    </row>
    <row r="1068" spans="1:14" hidden="1">
      <c r="E1068" s="255" t="s">
        <v>204</v>
      </c>
      <c r="L1068" s="264">
        <v>112802</v>
      </c>
      <c r="M1068" s="264">
        <v>42463</v>
      </c>
      <c r="N1068" s="264">
        <v>0</v>
      </c>
    </row>
    <row r="1069" spans="1:14" hidden="1">
      <c r="C1069" s="249">
        <v>61</v>
      </c>
      <c r="D1069" s="249" t="s">
        <v>276</v>
      </c>
      <c r="E1069" s="255" t="s">
        <v>84</v>
      </c>
      <c r="L1069" s="264">
        <v>31388</v>
      </c>
      <c r="M1069" s="264">
        <v>0</v>
      </c>
      <c r="N1069" s="264">
        <v>0</v>
      </c>
    </row>
    <row r="1070" spans="1:14" hidden="1">
      <c r="E1070" s="255" t="s">
        <v>226</v>
      </c>
      <c r="L1070" s="264">
        <v>3916</v>
      </c>
      <c r="M1070" s="264">
        <v>0</v>
      </c>
      <c r="N1070" s="264">
        <v>0</v>
      </c>
    </row>
    <row r="1071" spans="1:14" ht="30" hidden="1">
      <c r="A1071" s="249" t="s">
        <v>411</v>
      </c>
      <c r="B1071" s="252" t="s">
        <v>412</v>
      </c>
      <c r="C1071" s="249">
        <v>31</v>
      </c>
      <c r="D1071" s="249" t="s">
        <v>333</v>
      </c>
      <c r="E1071" s="255" t="s">
        <v>84</v>
      </c>
      <c r="L1071" s="264">
        <v>130400</v>
      </c>
      <c r="M1071" s="264">
        <v>136366</v>
      </c>
      <c r="N1071" s="264">
        <v>136366</v>
      </c>
    </row>
    <row r="1072" spans="1:14" hidden="1">
      <c r="E1072" s="255" t="s">
        <v>226</v>
      </c>
      <c r="L1072" s="264">
        <v>270715</v>
      </c>
      <c r="M1072" s="264">
        <v>181114</v>
      </c>
      <c r="N1072" s="264">
        <v>264852</v>
      </c>
    </row>
    <row r="1073" spans="1:14" hidden="1">
      <c r="E1073" s="255" t="s">
        <v>192</v>
      </c>
      <c r="L1073" s="264">
        <v>13</v>
      </c>
      <c r="M1073" s="264">
        <v>27</v>
      </c>
      <c r="N1073" s="264">
        <v>27</v>
      </c>
    </row>
    <row r="1074" spans="1:14" hidden="1">
      <c r="E1074" s="255" t="s">
        <v>204</v>
      </c>
      <c r="L1074" s="264">
        <v>19908</v>
      </c>
      <c r="M1074" s="264">
        <v>19975</v>
      </c>
      <c r="N1074" s="264">
        <v>19975</v>
      </c>
    </row>
    <row r="1075" spans="1:14" hidden="1">
      <c r="E1075" s="255" t="s">
        <v>367</v>
      </c>
      <c r="L1075" s="264">
        <v>6636</v>
      </c>
      <c r="M1075" s="264">
        <v>7300</v>
      </c>
      <c r="N1075" s="264">
        <v>7300</v>
      </c>
    </row>
    <row r="1076" spans="1:14" hidden="1">
      <c r="C1076" s="249">
        <v>43</v>
      </c>
      <c r="D1076" s="249" t="s">
        <v>104</v>
      </c>
      <c r="E1076" s="255" t="s">
        <v>84</v>
      </c>
      <c r="L1076" s="264">
        <v>934433</v>
      </c>
      <c r="M1076" s="264">
        <v>887000</v>
      </c>
      <c r="N1076" s="264">
        <v>911000</v>
      </c>
    </row>
    <row r="1077" spans="1:14" hidden="1">
      <c r="E1077" s="255" t="s">
        <v>226</v>
      </c>
      <c r="L1077" s="264">
        <v>188491</v>
      </c>
      <c r="M1077" s="264">
        <v>172931</v>
      </c>
      <c r="N1077" s="264">
        <v>172931</v>
      </c>
    </row>
    <row r="1078" spans="1:14" hidden="1">
      <c r="E1078" s="255" t="s">
        <v>192</v>
      </c>
      <c r="L1078" s="264">
        <v>133</v>
      </c>
      <c r="M1078" s="264">
        <v>135</v>
      </c>
      <c r="N1078" s="264">
        <v>135</v>
      </c>
    </row>
    <row r="1079" spans="1:14" hidden="1">
      <c r="E1079" s="255" t="s">
        <v>204</v>
      </c>
      <c r="L1079" s="264">
        <v>26478</v>
      </c>
      <c r="M1079" s="264">
        <v>27235</v>
      </c>
      <c r="N1079" s="264">
        <v>27235</v>
      </c>
    </row>
    <row r="1080" spans="1:14" hidden="1">
      <c r="E1080" s="255" t="s">
        <v>209</v>
      </c>
      <c r="L1080" s="264">
        <v>1991</v>
      </c>
      <c r="M1080" s="264">
        <v>2031</v>
      </c>
      <c r="N1080" s="264">
        <v>2031</v>
      </c>
    </row>
    <row r="1081" spans="1:14" hidden="1">
      <c r="E1081" s="255" t="s">
        <v>215</v>
      </c>
      <c r="L1081" s="264">
        <v>929</v>
      </c>
      <c r="M1081" s="264">
        <v>948</v>
      </c>
      <c r="N1081" s="264">
        <v>948</v>
      </c>
    </row>
    <row r="1082" spans="1:14" hidden="1">
      <c r="E1082" s="255" t="s">
        <v>367</v>
      </c>
      <c r="L1082" s="264">
        <v>9025</v>
      </c>
      <c r="M1082" s="264">
        <v>9206</v>
      </c>
      <c r="N1082" s="264">
        <v>9206</v>
      </c>
    </row>
    <row r="1083" spans="1:14" hidden="1">
      <c r="C1083" s="249">
        <v>52</v>
      </c>
      <c r="D1083" s="249" t="s">
        <v>69</v>
      </c>
      <c r="E1083" s="255" t="s">
        <v>84</v>
      </c>
      <c r="L1083" s="264">
        <v>20439</v>
      </c>
      <c r="M1083" s="264">
        <v>20848</v>
      </c>
      <c r="N1083" s="264">
        <v>20848</v>
      </c>
    </row>
    <row r="1084" spans="1:14" hidden="1">
      <c r="E1084" s="255" t="s">
        <v>226</v>
      </c>
      <c r="L1084" s="264">
        <v>60974</v>
      </c>
      <c r="M1084" s="264">
        <v>62192</v>
      </c>
      <c r="N1084" s="264">
        <v>62192</v>
      </c>
    </row>
    <row r="1085" spans="1:14" hidden="1">
      <c r="E1085" s="255" t="s">
        <v>192</v>
      </c>
      <c r="L1085" s="264">
        <v>133</v>
      </c>
      <c r="M1085" s="264">
        <v>135</v>
      </c>
      <c r="N1085" s="264">
        <v>135</v>
      </c>
    </row>
    <row r="1086" spans="1:14" hidden="1">
      <c r="E1086" s="255" t="s">
        <v>367</v>
      </c>
      <c r="L1086" s="264">
        <v>2150</v>
      </c>
      <c r="M1086" s="264">
        <v>2194</v>
      </c>
      <c r="N1086" s="264">
        <v>2194</v>
      </c>
    </row>
    <row r="1087" spans="1:14" hidden="1">
      <c r="C1087" s="249">
        <v>61</v>
      </c>
      <c r="D1087" s="249" t="s">
        <v>276</v>
      </c>
      <c r="E1087" s="255" t="s">
        <v>226</v>
      </c>
      <c r="L1087" s="264">
        <v>2655</v>
      </c>
      <c r="M1087" s="264">
        <v>3318</v>
      </c>
      <c r="N1087" s="264">
        <v>3318</v>
      </c>
    </row>
    <row r="1088" spans="1:14" ht="30" hidden="1">
      <c r="A1088" s="249" t="s">
        <v>388</v>
      </c>
      <c r="B1088" s="252" t="s">
        <v>389</v>
      </c>
      <c r="C1088" s="249">
        <v>12</v>
      </c>
      <c r="D1088" s="249" t="s">
        <v>102</v>
      </c>
      <c r="E1088" s="255" t="s">
        <v>226</v>
      </c>
      <c r="L1088" s="264">
        <v>10073.11724154088</v>
      </c>
      <c r="M1088" s="264">
        <v>0</v>
      </c>
      <c r="N1088" s="264">
        <v>0</v>
      </c>
    </row>
    <row r="1089" spans="1:14" hidden="1">
      <c r="C1089" s="249">
        <v>561</v>
      </c>
      <c r="D1089" s="249" t="s">
        <v>390</v>
      </c>
      <c r="E1089" s="255" t="s">
        <v>84</v>
      </c>
      <c r="L1089" s="264">
        <v>57080.997702064975</v>
      </c>
      <c r="M1089" s="264">
        <v>0</v>
      </c>
      <c r="N1089" s="264">
        <v>0</v>
      </c>
    </row>
    <row r="1090" spans="1:14" ht="30" hidden="1">
      <c r="A1090" s="249" t="s">
        <v>407</v>
      </c>
      <c r="B1090" s="252" t="s">
        <v>408</v>
      </c>
      <c r="C1090" s="249">
        <v>11</v>
      </c>
      <c r="D1090" s="249" t="s">
        <v>100</v>
      </c>
      <c r="E1090" s="255" t="s">
        <v>84</v>
      </c>
      <c r="L1090" s="264">
        <v>3329313.015967269</v>
      </c>
      <c r="M1090" s="264">
        <v>3345180.0416587926</v>
      </c>
      <c r="N1090" s="264">
        <v>3361121.4267165218</v>
      </c>
    </row>
    <row r="1091" spans="1:14" hidden="1">
      <c r="E1091" s="255" t="s">
        <v>226</v>
      </c>
      <c r="L1091" s="264">
        <v>76154.364958080769</v>
      </c>
      <c r="M1091" s="264">
        <v>76517.305678738863</v>
      </c>
      <c r="N1091" s="264">
        <v>76881.947287924093</v>
      </c>
    </row>
    <row r="1092" spans="1:14" ht="30" hidden="1">
      <c r="A1092" s="249" t="s">
        <v>365</v>
      </c>
      <c r="B1092" s="252" t="s">
        <v>366</v>
      </c>
      <c r="C1092" s="249">
        <v>11</v>
      </c>
      <c r="D1092" s="249" t="s">
        <v>100</v>
      </c>
      <c r="E1092" s="255" t="s">
        <v>226</v>
      </c>
      <c r="L1092" s="264">
        <v>222698.93223244752</v>
      </c>
      <c r="M1092" s="264">
        <v>222698.93223244752</v>
      </c>
      <c r="N1092" s="264">
        <v>222698.93223244752</v>
      </c>
    </row>
    <row r="1093" spans="1:14" hidden="1">
      <c r="E1093" s="255" t="s">
        <v>192</v>
      </c>
      <c r="L1093" s="264">
        <v>2187.7907173212998</v>
      </c>
      <c r="M1093" s="264">
        <v>2187.7907173212998</v>
      </c>
      <c r="N1093" s="264">
        <v>2187.7907173212998</v>
      </c>
    </row>
    <row r="1094" spans="1:14" hidden="1">
      <c r="E1094" s="255" t="s">
        <v>367</v>
      </c>
      <c r="L1094" s="264">
        <v>27656.976992552281</v>
      </c>
      <c r="M1094" s="264">
        <v>27656.976992552281</v>
      </c>
      <c r="N1094" s="264">
        <v>27656.976992552281</v>
      </c>
    </row>
    <row r="1095" spans="1:14" ht="30" hidden="1">
      <c r="A1095" s="249" t="s">
        <v>409</v>
      </c>
      <c r="B1095" s="252" t="s">
        <v>410</v>
      </c>
      <c r="C1095" s="249">
        <v>51</v>
      </c>
      <c r="D1095" s="249" t="s">
        <v>109</v>
      </c>
      <c r="E1095" s="255" t="s">
        <v>84</v>
      </c>
      <c r="L1095" s="264">
        <v>105090</v>
      </c>
      <c r="M1095" s="264">
        <v>75230</v>
      </c>
      <c r="N1095" s="264">
        <v>55060</v>
      </c>
    </row>
    <row r="1096" spans="1:14" hidden="1">
      <c r="E1096" s="255" t="s">
        <v>226</v>
      </c>
      <c r="L1096" s="264">
        <v>56620</v>
      </c>
      <c r="M1096" s="264">
        <v>31970</v>
      </c>
      <c r="N1096" s="264">
        <v>30150</v>
      </c>
    </row>
    <row r="1097" spans="1:14" hidden="1">
      <c r="C1097" s="249">
        <v>52</v>
      </c>
      <c r="D1097" s="249" t="s">
        <v>69</v>
      </c>
      <c r="E1097" s="255" t="s">
        <v>84</v>
      </c>
      <c r="L1097" s="264">
        <v>56280</v>
      </c>
      <c r="M1097" s="264"/>
      <c r="N1097" s="264"/>
    </row>
    <row r="1098" spans="1:14" hidden="1">
      <c r="E1098" s="255" t="s">
        <v>226</v>
      </c>
      <c r="L1098" s="264">
        <v>11290</v>
      </c>
      <c r="M1098" s="264"/>
      <c r="N1098" s="264"/>
    </row>
    <row r="1099" spans="1:14" hidden="1">
      <c r="E1099" s="255" t="s">
        <v>264</v>
      </c>
      <c r="L1099" s="264">
        <v>2655</v>
      </c>
      <c r="M1099" s="264"/>
      <c r="N1099" s="264"/>
    </row>
    <row r="1100" spans="1:14" hidden="1">
      <c r="E1100" s="255" t="s">
        <v>204</v>
      </c>
      <c r="L1100" s="264">
        <v>23021</v>
      </c>
      <c r="M1100" s="264"/>
      <c r="N1100" s="264"/>
    </row>
    <row r="1101" spans="1:14" hidden="1">
      <c r="C1101" s="249">
        <v>61</v>
      </c>
      <c r="D1101" s="249" t="s">
        <v>276</v>
      </c>
      <c r="E1101" s="255" t="s">
        <v>84</v>
      </c>
      <c r="L1101" s="264">
        <v>12700</v>
      </c>
      <c r="M1101" s="264"/>
      <c r="N1101" s="264"/>
    </row>
    <row r="1102" spans="1:14" hidden="1">
      <c r="E1102" s="255" t="s">
        <v>226</v>
      </c>
      <c r="L1102" s="264">
        <v>1530</v>
      </c>
      <c r="M1102" s="264"/>
      <c r="N1102" s="264"/>
    </row>
    <row r="1103" spans="1:14" ht="30" hidden="1">
      <c r="A1103" s="249" t="s">
        <v>411</v>
      </c>
      <c r="B1103" s="252" t="s">
        <v>412</v>
      </c>
      <c r="C1103" s="249">
        <v>31</v>
      </c>
      <c r="D1103" s="249" t="s">
        <v>333</v>
      </c>
      <c r="E1103" s="255" t="s">
        <v>84</v>
      </c>
      <c r="L1103" s="264">
        <v>36450</v>
      </c>
      <c r="M1103" s="264">
        <v>36450</v>
      </c>
      <c r="N1103" s="264">
        <v>38780</v>
      </c>
    </row>
    <row r="1104" spans="1:14" hidden="1">
      <c r="E1104" s="255" t="s">
        <v>226</v>
      </c>
      <c r="L1104" s="264">
        <v>199000</v>
      </c>
      <c r="M1104" s="264">
        <v>201600</v>
      </c>
      <c r="N1104" s="264">
        <v>210300</v>
      </c>
    </row>
    <row r="1105" spans="1:14" hidden="1">
      <c r="E1105" s="255" t="s">
        <v>192</v>
      </c>
      <c r="L1105" s="264">
        <v>100</v>
      </c>
      <c r="M1105" s="264">
        <v>150</v>
      </c>
      <c r="N1105" s="264">
        <v>200</v>
      </c>
    </row>
    <row r="1106" spans="1:14" hidden="1">
      <c r="E1106" s="255" t="s">
        <v>204</v>
      </c>
      <c r="L1106" s="264">
        <v>7900</v>
      </c>
      <c r="M1106" s="264">
        <v>8000</v>
      </c>
      <c r="N1106" s="264">
        <v>8500</v>
      </c>
    </row>
    <row r="1107" spans="1:14" hidden="1">
      <c r="E1107" s="255" t="s">
        <v>367</v>
      </c>
      <c r="L1107" s="264">
        <v>1500</v>
      </c>
      <c r="M1107" s="264">
        <v>1500</v>
      </c>
      <c r="N1107" s="264">
        <v>1500</v>
      </c>
    </row>
    <row r="1108" spans="1:14" hidden="1">
      <c r="C1108" s="249">
        <v>43</v>
      </c>
      <c r="D1108" s="249" t="s">
        <v>104</v>
      </c>
      <c r="E1108" s="255" t="s">
        <v>84</v>
      </c>
      <c r="L1108" s="264">
        <v>660950</v>
      </c>
      <c r="M1108" s="264">
        <v>666775</v>
      </c>
      <c r="N1108" s="264">
        <v>727550</v>
      </c>
    </row>
    <row r="1109" spans="1:14" hidden="1">
      <c r="E1109" s="255" t="s">
        <v>226</v>
      </c>
      <c r="L1109" s="264">
        <v>307116</v>
      </c>
      <c r="M1109" s="264">
        <v>291850</v>
      </c>
      <c r="N1109" s="264">
        <v>310230</v>
      </c>
    </row>
    <row r="1110" spans="1:14" hidden="1">
      <c r="E1110" s="255" t="s">
        <v>192</v>
      </c>
      <c r="L1110" s="264">
        <v>1326</v>
      </c>
      <c r="M1110" s="264">
        <v>1430</v>
      </c>
      <c r="N1110" s="264">
        <v>1530</v>
      </c>
    </row>
    <row r="1111" spans="1:14" hidden="1">
      <c r="E1111" s="255" t="s">
        <v>204</v>
      </c>
      <c r="L1111" s="264">
        <v>31000</v>
      </c>
      <c r="M1111" s="264">
        <v>31500</v>
      </c>
      <c r="N1111" s="264">
        <v>32000</v>
      </c>
    </row>
    <row r="1112" spans="1:14" hidden="1">
      <c r="E1112" s="255" t="s">
        <v>209</v>
      </c>
      <c r="L1112" s="264">
        <v>2300</v>
      </c>
      <c r="M1112" s="264">
        <v>2500</v>
      </c>
      <c r="N1112" s="264">
        <v>2700</v>
      </c>
    </row>
    <row r="1113" spans="1:14" hidden="1">
      <c r="E1113" s="255" t="s">
        <v>215</v>
      </c>
      <c r="L1113" s="264">
        <v>2000</v>
      </c>
      <c r="M1113" s="264">
        <v>2500</v>
      </c>
      <c r="N1113" s="264">
        <v>3000</v>
      </c>
    </row>
    <row r="1114" spans="1:14" hidden="1">
      <c r="E1114" s="255" t="s">
        <v>367</v>
      </c>
      <c r="L1114" s="264">
        <v>67100</v>
      </c>
      <c r="M1114" s="264">
        <v>41100</v>
      </c>
      <c r="N1114" s="264">
        <v>31700</v>
      </c>
    </row>
    <row r="1115" spans="1:14" hidden="1">
      <c r="C1115" s="249">
        <v>52</v>
      </c>
      <c r="D1115" s="249" t="s">
        <v>69</v>
      </c>
      <c r="E1115" s="255" t="s">
        <v>226</v>
      </c>
      <c r="L1115" s="264">
        <v>20000</v>
      </c>
      <c r="M1115" s="264">
        <v>26000</v>
      </c>
      <c r="N1115" s="264">
        <v>24000</v>
      </c>
    </row>
    <row r="1116" spans="1:14" hidden="1">
      <c r="C1116" s="249">
        <v>61</v>
      </c>
      <c r="D1116" s="249" t="s">
        <v>276</v>
      </c>
      <c r="E1116" s="255" t="s">
        <v>226</v>
      </c>
      <c r="L1116" s="264">
        <v>570</v>
      </c>
      <c r="M1116" s="264"/>
      <c r="N1116" s="264"/>
    </row>
    <row r="1117" spans="1:14" hidden="1">
      <c r="C1117" s="249">
        <v>71</v>
      </c>
      <c r="D1117" s="249" t="s">
        <v>387</v>
      </c>
      <c r="E1117" s="255" t="s">
        <v>226</v>
      </c>
      <c r="L1117" s="264">
        <v>1000</v>
      </c>
      <c r="M1117" s="264">
        <v>2000</v>
      </c>
      <c r="N1117" s="264">
        <v>2000</v>
      </c>
    </row>
    <row r="1118" spans="1:14" ht="30" hidden="1">
      <c r="A1118" s="249" t="s">
        <v>407</v>
      </c>
      <c r="B1118" s="252" t="s">
        <v>408</v>
      </c>
      <c r="C1118" s="249">
        <v>11</v>
      </c>
      <c r="D1118" s="249" t="s">
        <v>100</v>
      </c>
      <c r="E1118" s="255" t="s">
        <v>84</v>
      </c>
      <c r="L1118" s="264">
        <v>2768530.0770381195</v>
      </c>
      <c r="M1118" s="264">
        <v>2781724.4921169784</v>
      </c>
      <c r="N1118" s="264">
        <v>2794980.7416165909</v>
      </c>
    </row>
    <row r="1119" spans="1:14" hidden="1">
      <c r="E1119" s="255" t="s">
        <v>226</v>
      </c>
      <c r="L1119" s="264">
        <v>39315.584983016</v>
      </c>
      <c r="M1119" s="264">
        <v>39502.957391080665</v>
      </c>
      <c r="N1119" s="264">
        <v>39691.207902816357</v>
      </c>
    </row>
    <row r="1120" spans="1:14" ht="30" hidden="1">
      <c r="A1120" s="249" t="s">
        <v>365</v>
      </c>
      <c r="B1120" s="252" t="s">
        <v>366</v>
      </c>
      <c r="C1120" s="249">
        <v>11</v>
      </c>
      <c r="D1120" s="249" t="s">
        <v>100</v>
      </c>
      <c r="E1120" s="255" t="s">
        <v>226</v>
      </c>
      <c r="L1120" s="264">
        <v>182430.37373129139</v>
      </c>
      <c r="M1120" s="264">
        <v>182430.37373129139</v>
      </c>
      <c r="N1120" s="264">
        <v>182430.37373129139</v>
      </c>
    </row>
    <row r="1121" spans="1:14" hidden="1">
      <c r="E1121" s="255" t="s">
        <v>192</v>
      </c>
      <c r="L1121" s="264">
        <v>1174.8023361313999</v>
      </c>
      <c r="M1121" s="264">
        <v>1174.8023361313999</v>
      </c>
      <c r="N1121" s="264">
        <v>1174.8023361313999</v>
      </c>
    </row>
    <row r="1122" spans="1:14" hidden="1">
      <c r="E1122" s="255" t="s">
        <v>209</v>
      </c>
      <c r="L1122" s="264">
        <v>927.12791530257357</v>
      </c>
      <c r="M1122" s="264">
        <v>927.12791530257357</v>
      </c>
      <c r="N1122" s="264">
        <v>927.12791530257357</v>
      </c>
    </row>
    <row r="1123" spans="1:14" hidden="1">
      <c r="E1123" s="255" t="s">
        <v>367</v>
      </c>
      <c r="L1123" s="264">
        <v>21757.372288409639</v>
      </c>
      <c r="M1123" s="264">
        <v>21757.372288409639</v>
      </c>
      <c r="N1123" s="264">
        <v>21757.372288409639</v>
      </c>
    </row>
    <row r="1124" spans="1:14" ht="30" hidden="1">
      <c r="A1124" s="249" t="s">
        <v>409</v>
      </c>
      <c r="B1124" s="252" t="s">
        <v>410</v>
      </c>
      <c r="C1124" s="249">
        <v>51</v>
      </c>
      <c r="D1124" s="249" t="s">
        <v>109</v>
      </c>
      <c r="E1124" s="255" t="s">
        <v>84</v>
      </c>
      <c r="L1124" s="264">
        <v>1159</v>
      </c>
      <c r="M1124" s="264">
        <v>0</v>
      </c>
      <c r="N1124" s="264">
        <v>0</v>
      </c>
    </row>
    <row r="1125" spans="1:14" hidden="1">
      <c r="E1125" s="255" t="s">
        <v>226</v>
      </c>
      <c r="L1125" s="264">
        <v>9906</v>
      </c>
      <c r="M1125" s="264">
        <v>0</v>
      </c>
      <c r="N1125" s="264">
        <v>0</v>
      </c>
    </row>
    <row r="1126" spans="1:14" hidden="1">
      <c r="E1126" s="255" t="s">
        <v>192</v>
      </c>
      <c r="L1126" s="264">
        <v>199</v>
      </c>
      <c r="M1126" s="264">
        <v>0</v>
      </c>
      <c r="N1126" s="264">
        <v>0</v>
      </c>
    </row>
    <row r="1127" spans="1:14" hidden="1">
      <c r="C1127" s="249">
        <v>52</v>
      </c>
      <c r="D1127" s="249" t="s">
        <v>69</v>
      </c>
      <c r="E1127" s="255" t="s">
        <v>367</v>
      </c>
      <c r="L1127" s="264">
        <v>4135</v>
      </c>
      <c r="M1127" s="264">
        <v>0</v>
      </c>
      <c r="N1127" s="264">
        <v>0</v>
      </c>
    </row>
    <row r="1128" spans="1:14" hidden="1">
      <c r="C1128" s="249">
        <v>61</v>
      </c>
      <c r="D1128" s="249" t="s">
        <v>276</v>
      </c>
      <c r="E1128" s="255" t="s">
        <v>84</v>
      </c>
      <c r="L1128" s="264">
        <v>5381</v>
      </c>
      <c r="M1128" s="264">
        <v>0</v>
      </c>
      <c r="N1128" s="264">
        <v>0</v>
      </c>
    </row>
    <row r="1129" spans="1:14" ht="30" hidden="1">
      <c r="A1129" s="249" t="s">
        <v>411</v>
      </c>
      <c r="B1129" s="252" t="s">
        <v>412</v>
      </c>
      <c r="C1129" s="249">
        <v>31</v>
      </c>
      <c r="D1129" s="249" t="s">
        <v>333</v>
      </c>
      <c r="E1129" s="255" t="s">
        <v>84</v>
      </c>
      <c r="L1129" s="264">
        <v>20293</v>
      </c>
      <c r="M1129" s="264">
        <v>20293</v>
      </c>
      <c r="N1129" s="264">
        <v>20293</v>
      </c>
    </row>
    <row r="1130" spans="1:14" hidden="1">
      <c r="E1130" s="255" t="s">
        <v>226</v>
      </c>
      <c r="L1130" s="264">
        <v>93969</v>
      </c>
      <c r="M1130" s="264">
        <v>93969</v>
      </c>
      <c r="N1130" s="264">
        <v>93969</v>
      </c>
    </row>
    <row r="1131" spans="1:14" hidden="1">
      <c r="E1131" s="255" t="s">
        <v>192</v>
      </c>
      <c r="L1131" s="264">
        <v>2256</v>
      </c>
      <c r="M1131" s="264">
        <v>2256</v>
      </c>
      <c r="N1131" s="264">
        <v>2256</v>
      </c>
    </row>
    <row r="1132" spans="1:14" hidden="1">
      <c r="E1132" s="255" t="s">
        <v>204</v>
      </c>
      <c r="L1132" s="264">
        <v>2389</v>
      </c>
      <c r="M1132" s="264">
        <v>2389</v>
      </c>
      <c r="N1132" s="264">
        <v>2389</v>
      </c>
    </row>
    <row r="1133" spans="1:14" hidden="1">
      <c r="E1133" s="255" t="s">
        <v>209</v>
      </c>
      <c r="L1133" s="264">
        <v>1327</v>
      </c>
      <c r="M1133" s="264">
        <v>1327</v>
      </c>
      <c r="N1133" s="264">
        <v>1327</v>
      </c>
    </row>
    <row r="1134" spans="1:14" hidden="1">
      <c r="E1134" s="255" t="s">
        <v>215</v>
      </c>
      <c r="L1134" s="264">
        <v>1327</v>
      </c>
      <c r="M1134" s="264">
        <v>1327</v>
      </c>
      <c r="N1134" s="264">
        <v>1327</v>
      </c>
    </row>
    <row r="1135" spans="1:14" hidden="1">
      <c r="E1135" s="255" t="s">
        <v>367</v>
      </c>
      <c r="L1135" s="264">
        <v>1328</v>
      </c>
      <c r="M1135" s="264">
        <v>1328</v>
      </c>
      <c r="N1135" s="264">
        <v>1328</v>
      </c>
    </row>
    <row r="1136" spans="1:14" hidden="1">
      <c r="C1136" s="249">
        <v>43</v>
      </c>
      <c r="D1136" s="249" t="s">
        <v>104</v>
      </c>
      <c r="E1136" s="255" t="s">
        <v>84</v>
      </c>
      <c r="L1136" s="264">
        <v>424715</v>
      </c>
      <c r="M1136" s="264">
        <v>424715</v>
      </c>
      <c r="N1136" s="264">
        <v>424715</v>
      </c>
    </row>
    <row r="1137" spans="1:14" hidden="1">
      <c r="E1137" s="255" t="s">
        <v>226</v>
      </c>
      <c r="L1137" s="264">
        <v>134625</v>
      </c>
      <c r="M1137" s="264">
        <v>134625</v>
      </c>
      <c r="N1137" s="264">
        <v>134625</v>
      </c>
    </row>
    <row r="1138" spans="1:14" hidden="1">
      <c r="E1138" s="255" t="s">
        <v>192</v>
      </c>
      <c r="L1138" s="264">
        <v>1327</v>
      </c>
      <c r="M1138" s="264">
        <v>1327</v>
      </c>
      <c r="N1138" s="264">
        <v>1327</v>
      </c>
    </row>
    <row r="1139" spans="1:14" hidden="1">
      <c r="E1139" s="255" t="s">
        <v>204</v>
      </c>
      <c r="L1139" s="264">
        <v>10883</v>
      </c>
      <c r="M1139" s="264">
        <v>10883</v>
      </c>
      <c r="N1139" s="264">
        <v>10883</v>
      </c>
    </row>
    <row r="1140" spans="1:14" hidden="1">
      <c r="E1140" s="255" t="s">
        <v>209</v>
      </c>
      <c r="L1140" s="264">
        <v>1394</v>
      </c>
      <c r="M1140" s="264">
        <v>1394</v>
      </c>
      <c r="N1140" s="264">
        <v>1394</v>
      </c>
    </row>
    <row r="1141" spans="1:14" hidden="1">
      <c r="E1141" s="255" t="s">
        <v>215</v>
      </c>
      <c r="L1141" s="264">
        <v>664</v>
      </c>
      <c r="M1141" s="264">
        <v>664</v>
      </c>
      <c r="N1141" s="264">
        <v>664</v>
      </c>
    </row>
    <row r="1142" spans="1:14" hidden="1">
      <c r="E1142" s="255" t="s">
        <v>367</v>
      </c>
      <c r="L1142" s="264">
        <v>19907</v>
      </c>
      <c r="M1142" s="264">
        <v>19907</v>
      </c>
      <c r="N1142" s="264">
        <v>19907</v>
      </c>
    </row>
    <row r="1143" spans="1:14" hidden="1">
      <c r="C1143" s="249">
        <v>52</v>
      </c>
      <c r="D1143" s="249" t="s">
        <v>69</v>
      </c>
      <c r="E1143" s="255" t="s">
        <v>84</v>
      </c>
      <c r="L1143" s="264">
        <v>26477</v>
      </c>
      <c r="M1143" s="264">
        <v>24798</v>
      </c>
      <c r="N1143" s="264">
        <v>1103</v>
      </c>
    </row>
    <row r="1144" spans="1:14" hidden="1">
      <c r="E1144" s="255" t="s">
        <v>226</v>
      </c>
      <c r="L1144" s="264">
        <v>16725</v>
      </c>
      <c r="M1144" s="264">
        <v>16685</v>
      </c>
      <c r="N1144" s="264">
        <v>16184</v>
      </c>
    </row>
    <row r="1145" spans="1:14" hidden="1">
      <c r="E1145" s="255" t="s">
        <v>215</v>
      </c>
      <c r="L1145" s="264">
        <v>901</v>
      </c>
      <c r="M1145" s="264">
        <v>901</v>
      </c>
      <c r="N1145" s="264">
        <v>901</v>
      </c>
    </row>
    <row r="1146" spans="1:14" hidden="1">
      <c r="E1146" s="255" t="s">
        <v>367</v>
      </c>
      <c r="L1146" s="264">
        <v>3313</v>
      </c>
      <c r="M1146" s="264">
        <v>3313</v>
      </c>
      <c r="N1146" s="264">
        <v>3313</v>
      </c>
    </row>
    <row r="1147" spans="1:14" hidden="1">
      <c r="C1147" s="249">
        <v>61</v>
      </c>
      <c r="D1147" s="249" t="s">
        <v>276</v>
      </c>
      <c r="E1147" s="255" t="s">
        <v>226</v>
      </c>
      <c r="L1147" s="264">
        <v>530</v>
      </c>
      <c r="M1147" s="264">
        <v>530</v>
      </c>
      <c r="N1147" s="264">
        <v>530</v>
      </c>
    </row>
    <row r="1148" spans="1:14" hidden="1">
      <c r="E1148" s="255" t="s">
        <v>209</v>
      </c>
      <c r="L1148" s="264">
        <v>382</v>
      </c>
      <c r="M1148" s="264">
        <v>382</v>
      </c>
      <c r="N1148" s="264">
        <v>382</v>
      </c>
    </row>
    <row r="1149" spans="1:14" hidden="1">
      <c r="C1149" s="249">
        <v>71</v>
      </c>
      <c r="D1149" s="249" t="s">
        <v>387</v>
      </c>
      <c r="E1149" s="255" t="s">
        <v>367</v>
      </c>
      <c r="L1149" s="264">
        <v>775</v>
      </c>
      <c r="M1149" s="264">
        <v>775</v>
      </c>
      <c r="N1149" s="264">
        <v>775</v>
      </c>
    </row>
    <row r="1150" spans="1:14" ht="30" hidden="1">
      <c r="A1150" s="249" t="s">
        <v>388</v>
      </c>
      <c r="B1150" s="252" t="s">
        <v>389</v>
      </c>
      <c r="C1150" s="249">
        <v>12</v>
      </c>
      <c r="D1150" s="249" t="s">
        <v>102</v>
      </c>
      <c r="E1150" s="255" t="s">
        <v>84</v>
      </c>
      <c r="L1150" s="264">
        <v>6733.5365081369146</v>
      </c>
      <c r="M1150" s="264">
        <v>0</v>
      </c>
      <c r="N1150" s="264">
        <v>0</v>
      </c>
    </row>
    <row r="1151" spans="1:14" hidden="1">
      <c r="E1151" s="255" t="s">
        <v>226</v>
      </c>
      <c r="L1151" s="264">
        <v>5903.1601387517321</v>
      </c>
      <c r="M1151" s="264">
        <v>0</v>
      </c>
      <c r="N1151" s="264">
        <v>0</v>
      </c>
    </row>
    <row r="1152" spans="1:14" hidden="1">
      <c r="E1152" s="255" t="s">
        <v>367</v>
      </c>
      <c r="L1152" s="264">
        <v>1404.2636717799226</v>
      </c>
      <c r="M1152" s="264">
        <v>0</v>
      </c>
      <c r="N1152" s="264">
        <v>0</v>
      </c>
    </row>
    <row r="1153" spans="1:14" hidden="1">
      <c r="C1153" s="249">
        <v>561</v>
      </c>
      <c r="D1153" s="249" t="s">
        <v>390</v>
      </c>
      <c r="E1153" s="255" t="s">
        <v>84</v>
      </c>
      <c r="L1153" s="264">
        <v>38156.341961166814</v>
      </c>
      <c r="M1153" s="264">
        <v>0</v>
      </c>
      <c r="N1153" s="264">
        <v>0</v>
      </c>
    </row>
    <row r="1154" spans="1:14" hidden="1">
      <c r="E1154" s="255" t="s">
        <v>226</v>
      </c>
      <c r="L1154" s="264">
        <v>33452.946822008591</v>
      </c>
      <c r="M1154" s="264">
        <v>0</v>
      </c>
      <c r="N1154" s="264">
        <v>0</v>
      </c>
    </row>
    <row r="1155" spans="1:14" hidden="1">
      <c r="E1155" s="255" t="s">
        <v>367</v>
      </c>
      <c r="L1155" s="264">
        <v>7956.1530226131408</v>
      </c>
      <c r="M1155" s="264">
        <v>0</v>
      </c>
      <c r="N1155" s="264">
        <v>0</v>
      </c>
    </row>
    <row r="1156" spans="1:14" ht="30" hidden="1">
      <c r="A1156" s="249" t="s">
        <v>407</v>
      </c>
      <c r="B1156" s="252" t="s">
        <v>408</v>
      </c>
      <c r="C1156" s="249">
        <v>11</v>
      </c>
      <c r="D1156" s="249" t="s">
        <v>100</v>
      </c>
      <c r="E1156" s="255" t="s">
        <v>84</v>
      </c>
      <c r="L1156" s="264">
        <v>11204183.92410483</v>
      </c>
      <c r="M1156" s="264">
        <v>11257581.758637173</v>
      </c>
      <c r="N1156" s="264">
        <v>11311229.837242341</v>
      </c>
    </row>
    <row r="1157" spans="1:14" hidden="1">
      <c r="E1157" s="255" t="s">
        <v>226</v>
      </c>
      <c r="L1157" s="264">
        <v>151701.05556098881</v>
      </c>
      <c r="M1157" s="264">
        <v>152424.04091396503</v>
      </c>
      <c r="N1157" s="264">
        <v>153150.41447174211</v>
      </c>
    </row>
    <row r="1158" spans="1:14" hidden="1">
      <c r="A1158" s="249" t="s">
        <v>383</v>
      </c>
      <c r="B1158" s="252" t="s">
        <v>384</v>
      </c>
      <c r="C1158" s="249">
        <v>11</v>
      </c>
      <c r="D1158" s="249" t="s">
        <v>100</v>
      </c>
      <c r="E1158" s="255" t="s">
        <v>84</v>
      </c>
      <c r="L1158" s="264">
        <v>92336.74960000001</v>
      </c>
      <c r="M1158" s="264">
        <v>92336.74960000001</v>
      </c>
      <c r="N1158" s="264">
        <v>92336.74960000001</v>
      </c>
    </row>
    <row r="1159" spans="1:14" hidden="1">
      <c r="E1159" s="255" t="s">
        <v>226</v>
      </c>
      <c r="L1159" s="264">
        <v>41746.614960000006</v>
      </c>
      <c r="M1159" s="264">
        <v>41746.614960000006</v>
      </c>
      <c r="N1159" s="264">
        <v>41746.614960000006</v>
      </c>
    </row>
    <row r="1160" spans="1:14" hidden="1">
      <c r="E1160" s="255" t="s">
        <v>192</v>
      </c>
      <c r="L1160" s="264">
        <v>18467.349920000001</v>
      </c>
      <c r="M1160" s="264">
        <v>18467.349920000001</v>
      </c>
      <c r="N1160" s="264">
        <v>18467.349920000001</v>
      </c>
    </row>
    <row r="1161" spans="1:14" ht="30" hidden="1">
      <c r="A1161" s="249" t="s">
        <v>365</v>
      </c>
      <c r="B1161" s="252" t="s">
        <v>366</v>
      </c>
      <c r="C1161" s="249">
        <v>11</v>
      </c>
      <c r="D1161" s="249" t="s">
        <v>100</v>
      </c>
      <c r="E1161" s="255" t="s">
        <v>226</v>
      </c>
      <c r="L1161" s="264">
        <v>596309.19140151027</v>
      </c>
      <c r="M1161" s="264">
        <v>596309.19140151027</v>
      </c>
      <c r="N1161" s="264">
        <v>596309.19140151027</v>
      </c>
    </row>
    <row r="1162" spans="1:14" hidden="1">
      <c r="E1162" s="255" t="s">
        <v>192</v>
      </c>
      <c r="L1162" s="264">
        <v>349.22093336864526</v>
      </c>
      <c r="M1162" s="264">
        <v>349.22093336864526</v>
      </c>
      <c r="N1162" s="264">
        <v>349.22093336864526</v>
      </c>
    </row>
    <row r="1163" spans="1:14" hidden="1">
      <c r="E1163" s="255" t="s">
        <v>367</v>
      </c>
      <c r="L1163" s="264">
        <v>157730.62932343531</v>
      </c>
      <c r="M1163" s="264">
        <v>157730.62932343531</v>
      </c>
      <c r="N1163" s="264">
        <v>157730.62932343531</v>
      </c>
    </row>
    <row r="1164" spans="1:14" ht="30" hidden="1">
      <c r="A1164" s="249" t="s">
        <v>409</v>
      </c>
      <c r="B1164" s="252" t="s">
        <v>410</v>
      </c>
      <c r="C1164" s="249">
        <v>51</v>
      </c>
      <c r="D1164" s="249" t="s">
        <v>109</v>
      </c>
      <c r="E1164" s="255" t="s">
        <v>84</v>
      </c>
      <c r="L1164" s="264">
        <v>100361</v>
      </c>
      <c r="M1164" s="264">
        <v>37615</v>
      </c>
      <c r="N1164" s="264">
        <v>0</v>
      </c>
    </row>
    <row r="1165" spans="1:14" hidden="1">
      <c r="E1165" s="255" t="s">
        <v>226</v>
      </c>
      <c r="L1165" s="264">
        <v>90324</v>
      </c>
      <c r="M1165" s="264">
        <v>36511</v>
      </c>
      <c r="N1165" s="264">
        <v>0</v>
      </c>
    </row>
    <row r="1166" spans="1:14" hidden="1">
      <c r="E1166" s="255" t="s">
        <v>192</v>
      </c>
      <c r="L1166" s="264">
        <v>100</v>
      </c>
      <c r="M1166" s="264">
        <v>100</v>
      </c>
      <c r="N1166" s="264">
        <v>0</v>
      </c>
    </row>
    <row r="1167" spans="1:14" hidden="1">
      <c r="C1167" s="249">
        <v>52</v>
      </c>
      <c r="D1167" s="249" t="s">
        <v>69</v>
      </c>
      <c r="E1167" s="255" t="s">
        <v>84</v>
      </c>
      <c r="L1167" s="264">
        <v>13708</v>
      </c>
      <c r="M1167" s="264">
        <v>0</v>
      </c>
      <c r="N1167" s="264">
        <v>0</v>
      </c>
    </row>
    <row r="1168" spans="1:14" hidden="1">
      <c r="E1168" s="255" t="s">
        <v>226</v>
      </c>
      <c r="L1168" s="264">
        <v>54217</v>
      </c>
      <c r="M1168" s="264">
        <v>0</v>
      </c>
      <c r="N1168" s="264">
        <v>0</v>
      </c>
    </row>
    <row r="1169" spans="1:14" hidden="1">
      <c r="E1169" s="255" t="s">
        <v>367</v>
      </c>
      <c r="L1169" s="264">
        <v>16000</v>
      </c>
      <c r="M1169" s="264">
        <v>0</v>
      </c>
      <c r="N1169" s="264">
        <v>0</v>
      </c>
    </row>
    <row r="1170" spans="1:14" hidden="1">
      <c r="C1170" s="249">
        <v>61</v>
      </c>
      <c r="D1170" s="249" t="s">
        <v>276</v>
      </c>
      <c r="E1170" s="255" t="s">
        <v>84</v>
      </c>
      <c r="L1170" s="264">
        <v>51938</v>
      </c>
      <c r="M1170" s="264">
        <v>0</v>
      </c>
      <c r="N1170" s="264">
        <v>0</v>
      </c>
    </row>
    <row r="1171" spans="1:14" hidden="1">
      <c r="E1171" s="255" t="s">
        <v>226</v>
      </c>
      <c r="L1171" s="264">
        <v>109733</v>
      </c>
      <c r="M1171" s="264">
        <v>0</v>
      </c>
      <c r="N1171" s="264">
        <v>0</v>
      </c>
    </row>
    <row r="1172" spans="1:14" ht="30" hidden="1">
      <c r="A1172" s="249" t="s">
        <v>411</v>
      </c>
      <c r="B1172" s="252" t="s">
        <v>412</v>
      </c>
      <c r="C1172" s="249">
        <v>31</v>
      </c>
      <c r="D1172" s="249" t="s">
        <v>333</v>
      </c>
      <c r="E1172" s="255" t="s">
        <v>84</v>
      </c>
      <c r="L1172" s="264">
        <v>344900</v>
      </c>
      <c r="M1172" s="264">
        <v>348400</v>
      </c>
      <c r="N1172" s="264">
        <v>351800</v>
      </c>
    </row>
    <row r="1173" spans="1:14" hidden="1">
      <c r="E1173" s="255" t="s">
        <v>226</v>
      </c>
      <c r="L1173" s="264">
        <v>437900</v>
      </c>
      <c r="M1173" s="264">
        <v>441100</v>
      </c>
      <c r="N1173" s="264">
        <v>445700</v>
      </c>
    </row>
    <row r="1174" spans="1:14" hidden="1">
      <c r="E1174" s="255" t="s">
        <v>192</v>
      </c>
      <c r="L1174" s="264">
        <v>6000</v>
      </c>
      <c r="M1174" s="264">
        <v>6200</v>
      </c>
      <c r="N1174" s="264">
        <v>6400</v>
      </c>
    </row>
    <row r="1175" spans="1:14" hidden="1">
      <c r="E1175" s="255" t="s">
        <v>204</v>
      </c>
      <c r="L1175" s="264">
        <v>30000</v>
      </c>
      <c r="M1175" s="264">
        <v>33000</v>
      </c>
      <c r="N1175" s="264">
        <v>36000</v>
      </c>
    </row>
    <row r="1176" spans="1:14" hidden="1">
      <c r="E1176" s="255" t="s">
        <v>367</v>
      </c>
      <c r="L1176" s="264">
        <v>107600</v>
      </c>
      <c r="M1176" s="264">
        <v>108900</v>
      </c>
      <c r="N1176" s="264">
        <v>110000</v>
      </c>
    </row>
    <row r="1177" spans="1:14" hidden="1">
      <c r="E1177" s="255" t="s">
        <v>322</v>
      </c>
      <c r="L1177" s="264">
        <v>2800</v>
      </c>
      <c r="M1177" s="264">
        <v>2900</v>
      </c>
      <c r="N1177" s="264">
        <v>3000</v>
      </c>
    </row>
    <row r="1178" spans="1:14" hidden="1">
      <c r="C1178" s="249">
        <v>43</v>
      </c>
      <c r="D1178" s="249" t="s">
        <v>104</v>
      </c>
      <c r="E1178" s="255" t="s">
        <v>84</v>
      </c>
      <c r="L1178" s="264">
        <v>1348000</v>
      </c>
      <c r="M1178" s="264">
        <v>1361500</v>
      </c>
      <c r="N1178" s="264">
        <v>1375100</v>
      </c>
    </row>
    <row r="1179" spans="1:14" hidden="1">
      <c r="E1179" s="255" t="s">
        <v>226</v>
      </c>
      <c r="L1179" s="264">
        <v>1475200</v>
      </c>
      <c r="M1179" s="264">
        <v>1489600</v>
      </c>
      <c r="N1179" s="264">
        <v>1504600</v>
      </c>
    </row>
    <row r="1180" spans="1:14" hidden="1">
      <c r="E1180" s="255" t="s">
        <v>192</v>
      </c>
      <c r="L1180" s="264">
        <v>3000</v>
      </c>
      <c r="M1180" s="264">
        <v>3000</v>
      </c>
      <c r="N1180" s="264">
        <v>3100</v>
      </c>
    </row>
    <row r="1181" spans="1:14" hidden="1">
      <c r="E1181" s="255" t="s">
        <v>204</v>
      </c>
      <c r="L1181" s="264">
        <v>96000</v>
      </c>
      <c r="M1181" s="264">
        <v>97500</v>
      </c>
      <c r="N1181" s="264">
        <v>99000</v>
      </c>
    </row>
    <row r="1182" spans="1:14" hidden="1">
      <c r="E1182" s="255" t="s">
        <v>367</v>
      </c>
      <c r="L1182" s="264">
        <v>32500</v>
      </c>
      <c r="M1182" s="264">
        <v>14600</v>
      </c>
      <c r="N1182" s="264">
        <v>14700</v>
      </c>
    </row>
    <row r="1183" spans="1:14" hidden="1">
      <c r="E1183" s="255" t="s">
        <v>322</v>
      </c>
      <c r="L1183" s="264">
        <v>376900</v>
      </c>
      <c r="M1183" s="264">
        <v>37300</v>
      </c>
      <c r="N1183" s="264">
        <v>37700</v>
      </c>
    </row>
    <row r="1184" spans="1:14" hidden="1">
      <c r="C1184" s="249">
        <v>52</v>
      </c>
      <c r="D1184" s="249" t="s">
        <v>69</v>
      </c>
      <c r="E1184" s="255" t="s">
        <v>84</v>
      </c>
      <c r="L1184" s="264">
        <v>346779.99999999994</v>
      </c>
      <c r="M1184" s="264">
        <v>173389.99999999997</v>
      </c>
      <c r="N1184" s="264">
        <v>86694.999999999985</v>
      </c>
    </row>
    <row r="1185" spans="1:14" hidden="1">
      <c r="E1185" s="255" t="s">
        <v>226</v>
      </c>
      <c r="L1185" s="264">
        <v>623155</v>
      </c>
      <c r="M1185" s="264">
        <v>317885</v>
      </c>
      <c r="N1185" s="264">
        <v>165250</v>
      </c>
    </row>
    <row r="1186" spans="1:14" hidden="1">
      <c r="E1186" s="255" t="s">
        <v>192</v>
      </c>
      <c r="L1186" s="264">
        <v>142</v>
      </c>
      <c r="M1186" s="264">
        <v>72</v>
      </c>
      <c r="N1186" s="264">
        <v>37</v>
      </c>
    </row>
    <row r="1187" spans="1:14" hidden="1">
      <c r="E1187" s="255" t="s">
        <v>367</v>
      </c>
      <c r="L1187" s="264">
        <v>69091</v>
      </c>
      <c r="M1187" s="264">
        <v>38921</v>
      </c>
      <c r="N1187" s="264">
        <v>23836</v>
      </c>
    </row>
    <row r="1188" spans="1:14" hidden="1">
      <c r="E1188" s="255" t="s">
        <v>322</v>
      </c>
      <c r="L1188" s="264">
        <v>28699.999999999996</v>
      </c>
      <c r="M1188" s="264">
        <v>14349.999999999998</v>
      </c>
      <c r="N1188" s="264">
        <v>7174.9999999999991</v>
      </c>
    </row>
    <row r="1189" spans="1:14" hidden="1">
      <c r="C1189" s="249">
        <v>61</v>
      </c>
      <c r="D1189" s="249" t="s">
        <v>276</v>
      </c>
      <c r="E1189" s="255" t="s">
        <v>84</v>
      </c>
      <c r="L1189" s="264">
        <v>2400</v>
      </c>
      <c r="M1189" s="264">
        <v>2400</v>
      </c>
      <c r="N1189" s="264">
        <v>2500</v>
      </c>
    </row>
    <row r="1190" spans="1:14" hidden="1">
      <c r="E1190" s="255" t="s">
        <v>226</v>
      </c>
      <c r="L1190" s="264">
        <v>27500</v>
      </c>
      <c r="M1190" s="264">
        <v>28000</v>
      </c>
      <c r="N1190" s="264">
        <v>28000</v>
      </c>
    </row>
    <row r="1191" spans="1:14" hidden="1">
      <c r="E1191" s="255" t="s">
        <v>367</v>
      </c>
      <c r="L1191" s="264">
        <v>2900</v>
      </c>
      <c r="M1191" s="264">
        <v>3000</v>
      </c>
      <c r="N1191" s="264">
        <v>3000</v>
      </c>
    </row>
    <row r="1192" spans="1:14" ht="30" hidden="1">
      <c r="A1192" s="249" t="s">
        <v>372</v>
      </c>
      <c r="B1192" s="252" t="s">
        <v>373</v>
      </c>
      <c r="C1192" s="249">
        <v>12</v>
      </c>
      <c r="D1192" s="249" t="s">
        <v>102</v>
      </c>
      <c r="E1192" s="255" t="s">
        <v>84</v>
      </c>
      <c r="L1192" s="264">
        <v>26123</v>
      </c>
      <c r="M1192" s="264">
        <v>6531</v>
      </c>
      <c r="N1192" s="264">
        <v>0</v>
      </c>
    </row>
    <row r="1193" spans="1:14" hidden="1">
      <c r="E1193" s="255" t="s">
        <v>226</v>
      </c>
      <c r="L1193" s="264">
        <v>37856</v>
      </c>
      <c r="M1193" s="264">
        <v>9464</v>
      </c>
      <c r="N1193" s="264">
        <v>0</v>
      </c>
    </row>
    <row r="1194" spans="1:14" hidden="1">
      <c r="E1194" s="255" t="s">
        <v>367</v>
      </c>
      <c r="L1194" s="264">
        <v>13441</v>
      </c>
      <c r="M1194" s="264">
        <v>3360</v>
      </c>
      <c r="N1194" s="264">
        <v>0</v>
      </c>
    </row>
    <row r="1195" spans="1:14" hidden="1">
      <c r="C1195" s="249">
        <v>563</v>
      </c>
      <c r="D1195" s="249" t="s">
        <v>374</v>
      </c>
      <c r="E1195" s="255" t="s">
        <v>84</v>
      </c>
      <c r="L1195" s="264">
        <v>148027</v>
      </c>
      <c r="M1195" s="264">
        <v>37007</v>
      </c>
      <c r="N1195" s="264">
        <v>0</v>
      </c>
    </row>
    <row r="1196" spans="1:14" hidden="1">
      <c r="E1196" s="255" t="s">
        <v>226</v>
      </c>
      <c r="L1196" s="264">
        <v>214514</v>
      </c>
      <c r="M1196" s="264">
        <v>53628</v>
      </c>
      <c r="N1196" s="264">
        <v>0</v>
      </c>
    </row>
    <row r="1197" spans="1:14" hidden="1">
      <c r="E1197" s="255" t="s">
        <v>204</v>
      </c>
      <c r="L1197" s="264">
        <v>625793</v>
      </c>
      <c r="M1197" s="264">
        <v>156448</v>
      </c>
      <c r="N1197" s="264">
        <v>0</v>
      </c>
    </row>
    <row r="1198" spans="1:14" hidden="1">
      <c r="E1198" s="255" t="s">
        <v>367</v>
      </c>
      <c r="L1198" s="264">
        <v>76167</v>
      </c>
      <c r="M1198" s="264">
        <v>19042</v>
      </c>
      <c r="N1198" s="264">
        <v>0</v>
      </c>
    </row>
    <row r="1199" spans="1:14" ht="30" hidden="1">
      <c r="A1199" s="249" t="s">
        <v>401</v>
      </c>
      <c r="B1199" s="252" t="s">
        <v>402</v>
      </c>
      <c r="C1199" s="249">
        <v>11</v>
      </c>
      <c r="D1199" s="249" t="s">
        <v>100</v>
      </c>
      <c r="E1199" s="255" t="s">
        <v>84</v>
      </c>
      <c r="L1199" s="264">
        <v>1449622.6818485281</v>
      </c>
      <c r="M1199" s="264">
        <v>1456378.433204418</v>
      </c>
      <c r="N1199" s="264">
        <v>1463165.8042138773</v>
      </c>
    </row>
    <row r="1200" spans="1:14" hidden="1">
      <c r="E1200" s="255" t="s">
        <v>226</v>
      </c>
      <c r="L1200" s="264">
        <v>103264.16239407712</v>
      </c>
      <c r="M1200" s="264">
        <v>103745.40969645725</v>
      </c>
      <c r="N1200" s="264">
        <v>104228.90943119918</v>
      </c>
    </row>
    <row r="1201" spans="1:14" ht="30" hidden="1">
      <c r="A1201" s="249" t="s">
        <v>365</v>
      </c>
      <c r="B1201" s="252" t="s">
        <v>366</v>
      </c>
      <c r="C1201" s="249">
        <v>11</v>
      </c>
      <c r="D1201" s="249" t="s">
        <v>100</v>
      </c>
      <c r="E1201" s="255" t="s">
        <v>226</v>
      </c>
      <c r="L1201" s="264">
        <v>129658.05742530896</v>
      </c>
      <c r="M1201" s="264">
        <v>129658.05742530896</v>
      </c>
      <c r="N1201" s="264">
        <v>129658.05742530896</v>
      </c>
    </row>
    <row r="1202" spans="1:14" hidden="1">
      <c r="E1202" s="255" t="s">
        <v>192</v>
      </c>
      <c r="L1202" s="264">
        <v>548.18466695789994</v>
      </c>
      <c r="M1202" s="264">
        <v>548.18466695789994</v>
      </c>
      <c r="N1202" s="264">
        <v>548.18466695789994</v>
      </c>
    </row>
    <row r="1203" spans="1:14" hidden="1">
      <c r="E1203" s="255" t="s">
        <v>367</v>
      </c>
      <c r="L1203" s="264">
        <v>10957.914283934046</v>
      </c>
      <c r="M1203" s="264">
        <v>10957.914283934046</v>
      </c>
      <c r="N1203" s="264">
        <v>10957.914283934046</v>
      </c>
    </row>
    <row r="1204" spans="1:14" ht="30" hidden="1">
      <c r="A1204" s="249" t="s">
        <v>403</v>
      </c>
      <c r="B1204" s="252" t="s">
        <v>404</v>
      </c>
      <c r="C1204" s="249">
        <v>51</v>
      </c>
      <c r="D1204" s="249" t="s">
        <v>109</v>
      </c>
      <c r="E1204" s="255" t="s">
        <v>84</v>
      </c>
      <c r="L1204" s="264">
        <v>24886</v>
      </c>
      <c r="M1204" s="264">
        <v>24886</v>
      </c>
      <c r="N1204" s="264">
        <v>3112</v>
      </c>
    </row>
    <row r="1205" spans="1:14" hidden="1">
      <c r="E1205" s="255" t="s">
        <v>226</v>
      </c>
      <c r="L1205" s="264">
        <v>10730</v>
      </c>
      <c r="M1205" s="264">
        <v>10730</v>
      </c>
      <c r="N1205" s="264">
        <v>1341</v>
      </c>
    </row>
    <row r="1206" spans="1:14" hidden="1">
      <c r="E1206" s="255" t="s">
        <v>204</v>
      </c>
      <c r="L1206" s="264">
        <v>94651</v>
      </c>
      <c r="M1206" s="264">
        <v>94651</v>
      </c>
      <c r="N1206" s="264">
        <v>11832</v>
      </c>
    </row>
    <row r="1207" spans="1:14" hidden="1">
      <c r="E1207" s="255" t="s">
        <v>367</v>
      </c>
      <c r="L1207" s="264">
        <v>626</v>
      </c>
      <c r="M1207" s="264">
        <v>626</v>
      </c>
      <c r="N1207" s="264">
        <v>48</v>
      </c>
    </row>
    <row r="1208" spans="1:14" hidden="1">
      <c r="C1208" s="249">
        <v>52</v>
      </c>
      <c r="D1208" s="249" t="s">
        <v>69</v>
      </c>
      <c r="E1208" s="255" t="s">
        <v>226</v>
      </c>
      <c r="L1208" s="264">
        <v>134837</v>
      </c>
      <c r="M1208" s="264"/>
      <c r="N1208" s="264"/>
    </row>
    <row r="1209" spans="1:14" hidden="1">
      <c r="E1209" s="255" t="s">
        <v>209</v>
      </c>
      <c r="L1209" s="264">
        <v>21303</v>
      </c>
      <c r="M1209" s="264">
        <v>8695</v>
      </c>
      <c r="N1209" s="264">
        <v>0</v>
      </c>
    </row>
    <row r="1210" spans="1:14" ht="45" hidden="1">
      <c r="A1210" s="249" t="s">
        <v>405</v>
      </c>
      <c r="B1210" s="252" t="s">
        <v>406</v>
      </c>
      <c r="C1210" s="249">
        <v>31</v>
      </c>
      <c r="D1210" s="249" t="s">
        <v>333</v>
      </c>
      <c r="E1210" s="255" t="s">
        <v>226</v>
      </c>
      <c r="L1210" s="264">
        <v>103124</v>
      </c>
      <c r="M1210" s="264">
        <v>107124</v>
      </c>
      <c r="N1210" s="264">
        <v>107128</v>
      </c>
    </row>
    <row r="1211" spans="1:14" hidden="1">
      <c r="E1211" s="255" t="s">
        <v>192</v>
      </c>
      <c r="L1211" s="264">
        <v>265</v>
      </c>
      <c r="M1211" s="264">
        <v>265</v>
      </c>
      <c r="N1211" s="264">
        <v>265</v>
      </c>
    </row>
    <row r="1212" spans="1:14" hidden="1">
      <c r="E1212" s="255" t="s">
        <v>367</v>
      </c>
      <c r="L1212" s="264">
        <v>38292</v>
      </c>
      <c r="M1212" s="264">
        <v>27611</v>
      </c>
      <c r="N1212" s="264">
        <v>29607</v>
      </c>
    </row>
    <row r="1213" spans="1:14" hidden="1">
      <c r="C1213" s="249">
        <v>43</v>
      </c>
      <c r="D1213" s="249" t="s">
        <v>104</v>
      </c>
      <c r="E1213" s="255" t="s">
        <v>226</v>
      </c>
      <c r="L1213" s="264">
        <v>78245</v>
      </c>
      <c r="M1213" s="264">
        <v>78245</v>
      </c>
      <c r="N1213" s="264">
        <v>82411</v>
      </c>
    </row>
    <row r="1214" spans="1:14" hidden="1">
      <c r="E1214" s="255" t="s">
        <v>192</v>
      </c>
      <c r="L1214" s="264">
        <v>133</v>
      </c>
      <c r="M1214" s="264">
        <v>133</v>
      </c>
      <c r="N1214" s="264">
        <v>133</v>
      </c>
    </row>
    <row r="1215" spans="1:14" hidden="1">
      <c r="E1215" s="255" t="s">
        <v>367</v>
      </c>
      <c r="L1215" s="264">
        <v>113341</v>
      </c>
      <c r="M1215" s="264">
        <v>76622</v>
      </c>
      <c r="N1215" s="264">
        <v>73456</v>
      </c>
    </row>
    <row r="1216" spans="1:14" hidden="1">
      <c r="C1216" s="249">
        <v>52</v>
      </c>
      <c r="D1216" s="249" t="s">
        <v>69</v>
      </c>
      <c r="E1216" s="255" t="s">
        <v>226</v>
      </c>
      <c r="L1216" s="264">
        <v>15064</v>
      </c>
      <c r="M1216" s="264">
        <v>2124</v>
      </c>
      <c r="N1216" s="264">
        <v>2124</v>
      </c>
    </row>
    <row r="1217" spans="1:14" ht="30" hidden="1">
      <c r="A1217" s="249" t="s">
        <v>401</v>
      </c>
      <c r="B1217" s="252" t="s">
        <v>402</v>
      </c>
      <c r="C1217" s="249">
        <v>11</v>
      </c>
      <c r="D1217" s="249" t="s">
        <v>100</v>
      </c>
      <c r="E1217" s="255" t="s">
        <v>84</v>
      </c>
      <c r="L1217" s="264">
        <v>3543455.1190531384</v>
      </c>
      <c r="M1217" s="264">
        <v>3559968.8657162036</v>
      </c>
      <c r="N1217" s="264">
        <v>3576559.9034045157</v>
      </c>
    </row>
    <row r="1218" spans="1:14" hidden="1">
      <c r="E1218" s="255" t="s">
        <v>226</v>
      </c>
      <c r="L1218" s="264">
        <v>82841.970360692532</v>
      </c>
      <c r="M1218" s="264">
        <v>83228.043068160914</v>
      </c>
      <c r="N1218" s="264">
        <v>83615.922752325103</v>
      </c>
    </row>
    <row r="1219" spans="1:14" ht="30" hidden="1">
      <c r="A1219" s="249" t="s">
        <v>365</v>
      </c>
      <c r="B1219" s="252" t="s">
        <v>366</v>
      </c>
      <c r="C1219" s="249">
        <v>11</v>
      </c>
      <c r="D1219" s="249" t="s">
        <v>100</v>
      </c>
      <c r="E1219" s="255" t="s">
        <v>226</v>
      </c>
      <c r="L1219" s="264">
        <v>642764.3291149023</v>
      </c>
      <c r="M1219" s="264">
        <v>642764.3291149023</v>
      </c>
      <c r="N1219" s="264">
        <v>642764.3291149023</v>
      </c>
    </row>
    <row r="1220" spans="1:14" hidden="1">
      <c r="E1220" s="255" t="s">
        <v>192</v>
      </c>
      <c r="L1220" s="264">
        <v>12189.826438925891</v>
      </c>
      <c r="M1220" s="264">
        <v>12189.826438925891</v>
      </c>
      <c r="N1220" s="264">
        <v>12189.826438925891</v>
      </c>
    </row>
    <row r="1221" spans="1:14" hidden="1">
      <c r="E1221" s="255" t="s">
        <v>283</v>
      </c>
      <c r="L1221" s="264">
        <v>4833.045689990332</v>
      </c>
      <c r="M1221" s="264">
        <v>4833.045689990332</v>
      </c>
      <c r="N1221" s="264">
        <v>4833.045689990332</v>
      </c>
    </row>
    <row r="1222" spans="1:14" hidden="1">
      <c r="E1222" s="255" t="s">
        <v>367</v>
      </c>
      <c r="L1222" s="264">
        <v>208875.2855358253</v>
      </c>
      <c r="M1222" s="264">
        <v>208875.2855358253</v>
      </c>
      <c r="N1222" s="264">
        <v>208875.2855358253</v>
      </c>
    </row>
    <row r="1223" spans="1:14" ht="45" hidden="1">
      <c r="A1223" s="249" t="s">
        <v>405</v>
      </c>
      <c r="B1223" s="252" t="s">
        <v>406</v>
      </c>
      <c r="C1223" s="249">
        <v>31</v>
      </c>
      <c r="D1223" s="249" t="s">
        <v>333</v>
      </c>
      <c r="E1223" s="255" t="s">
        <v>84</v>
      </c>
      <c r="L1223" s="264">
        <v>6092</v>
      </c>
      <c r="M1223" s="264">
        <v>6092</v>
      </c>
      <c r="N1223" s="264">
        <v>6092</v>
      </c>
    </row>
    <row r="1224" spans="1:14" hidden="1">
      <c r="E1224" s="255" t="s">
        <v>226</v>
      </c>
      <c r="L1224" s="264">
        <v>41688</v>
      </c>
      <c r="M1224" s="264">
        <v>41688</v>
      </c>
      <c r="N1224" s="264">
        <v>41688</v>
      </c>
    </row>
    <row r="1225" spans="1:14" hidden="1">
      <c r="C1225" s="249">
        <v>43</v>
      </c>
      <c r="D1225" s="249" t="s">
        <v>104</v>
      </c>
      <c r="E1225" s="255" t="s">
        <v>84</v>
      </c>
      <c r="L1225" s="264">
        <v>1764151</v>
      </c>
      <c r="M1225" s="264">
        <v>1732032</v>
      </c>
      <c r="N1225" s="264">
        <v>1732032</v>
      </c>
    </row>
    <row r="1226" spans="1:14" hidden="1">
      <c r="E1226" s="255" t="s">
        <v>226</v>
      </c>
      <c r="L1226" s="264">
        <v>840398</v>
      </c>
      <c r="M1226" s="264">
        <v>827126</v>
      </c>
      <c r="N1226" s="264">
        <v>827126</v>
      </c>
    </row>
    <row r="1227" spans="1:14" hidden="1">
      <c r="E1227" s="255" t="s">
        <v>192</v>
      </c>
      <c r="L1227" s="264">
        <v>8096</v>
      </c>
      <c r="M1227" s="264">
        <v>0</v>
      </c>
      <c r="N1227" s="264">
        <v>0</v>
      </c>
    </row>
    <row r="1228" spans="1:14" hidden="1">
      <c r="E1228" s="255" t="s">
        <v>209</v>
      </c>
      <c r="L1228" s="264">
        <v>9291</v>
      </c>
      <c r="M1228" s="264">
        <v>9291</v>
      </c>
      <c r="N1228" s="264">
        <v>9291</v>
      </c>
    </row>
    <row r="1229" spans="1:14" hidden="1">
      <c r="E1229" s="255" t="s">
        <v>215</v>
      </c>
      <c r="L1229" s="264">
        <v>11945</v>
      </c>
      <c r="M1229" s="264">
        <v>11945</v>
      </c>
      <c r="N1229" s="264">
        <v>11945</v>
      </c>
    </row>
    <row r="1230" spans="1:14" hidden="1">
      <c r="E1230" s="255" t="s">
        <v>367</v>
      </c>
      <c r="L1230" s="264">
        <v>693477</v>
      </c>
      <c r="M1230" s="264">
        <v>326236</v>
      </c>
      <c r="N1230" s="264">
        <v>326236</v>
      </c>
    </row>
    <row r="1231" spans="1:14" hidden="1">
      <c r="E1231" s="255" t="s">
        <v>322</v>
      </c>
      <c r="L1231" s="264">
        <v>66361</v>
      </c>
      <c r="M1231" s="264">
        <v>13272</v>
      </c>
      <c r="N1231" s="264">
        <v>13272</v>
      </c>
    </row>
    <row r="1232" spans="1:14" hidden="1">
      <c r="C1232" s="249">
        <v>52</v>
      </c>
      <c r="D1232" s="249" t="s">
        <v>69</v>
      </c>
      <c r="E1232" s="255" t="s">
        <v>226</v>
      </c>
      <c r="L1232" s="264">
        <v>54416</v>
      </c>
      <c r="M1232" s="264">
        <v>31286</v>
      </c>
      <c r="N1232" s="264">
        <v>0</v>
      </c>
    </row>
    <row r="1233" spans="1:14" hidden="1">
      <c r="C1233" s="249">
        <v>71</v>
      </c>
      <c r="D1233" s="249" t="s">
        <v>387</v>
      </c>
      <c r="E1233" s="255" t="s">
        <v>226</v>
      </c>
      <c r="L1233" s="264">
        <v>114</v>
      </c>
      <c r="M1233" s="264">
        <v>114</v>
      </c>
      <c r="N1233" s="264">
        <v>114</v>
      </c>
    </row>
    <row r="1234" spans="1:14" ht="30" hidden="1">
      <c r="A1234" s="249" t="s">
        <v>413</v>
      </c>
      <c r="B1234" s="252" t="s">
        <v>414</v>
      </c>
      <c r="C1234" s="249">
        <v>11</v>
      </c>
      <c r="D1234" s="249" t="s">
        <v>100</v>
      </c>
      <c r="E1234" s="255" t="s">
        <v>84</v>
      </c>
      <c r="L1234" s="264">
        <v>5451752.5267103687</v>
      </c>
      <c r="M1234" s="264">
        <v>5477825.266773263</v>
      </c>
      <c r="N1234" s="264">
        <v>5504020.2360552307</v>
      </c>
    </row>
    <row r="1235" spans="1:14" hidden="1">
      <c r="E1235" s="255" t="s">
        <v>226</v>
      </c>
      <c r="L1235" s="264">
        <v>106508.54248158603</v>
      </c>
      <c r="M1235" s="264">
        <v>107017.91438153833</v>
      </c>
      <c r="N1235" s="264">
        <v>107529.67422113175</v>
      </c>
    </row>
    <row r="1236" spans="1:14" ht="30" hidden="1">
      <c r="A1236" s="249" t="s">
        <v>381</v>
      </c>
      <c r="B1236" s="252" t="s">
        <v>382</v>
      </c>
      <c r="C1236" s="249">
        <v>11</v>
      </c>
      <c r="D1236" s="249" t="s">
        <v>100</v>
      </c>
      <c r="E1236" s="255" t="s">
        <v>226</v>
      </c>
      <c r="L1236" s="264">
        <v>23897.189566416095</v>
      </c>
      <c r="M1236" s="264">
        <v>23897.189566416095</v>
      </c>
      <c r="N1236" s="264">
        <v>23897.189566416095</v>
      </c>
    </row>
    <row r="1237" spans="1:14" hidden="1">
      <c r="A1237" s="249" t="s">
        <v>383</v>
      </c>
      <c r="B1237" s="252" t="s">
        <v>384</v>
      </c>
      <c r="C1237" s="249">
        <v>11</v>
      </c>
      <c r="D1237" s="249" t="s">
        <v>100</v>
      </c>
      <c r="E1237" s="255" t="s">
        <v>84</v>
      </c>
      <c r="L1237" s="264">
        <v>4045.9102536</v>
      </c>
      <c r="M1237" s="264">
        <v>4045.9102536</v>
      </c>
      <c r="N1237" s="264">
        <v>4045.9102536</v>
      </c>
    </row>
    <row r="1238" spans="1:14" hidden="1">
      <c r="E1238" s="255" t="s">
        <v>226</v>
      </c>
      <c r="L1238" s="264">
        <v>3883.9958124000004</v>
      </c>
      <c r="M1238" s="264">
        <v>3883.9958124000004</v>
      </c>
      <c r="N1238" s="264">
        <v>3883.9958124000004</v>
      </c>
    </row>
    <row r="1239" spans="1:14" hidden="1">
      <c r="E1239" s="255" t="s">
        <v>192</v>
      </c>
      <c r="L1239" s="264">
        <v>1725.7868552</v>
      </c>
      <c r="M1239" s="264">
        <v>1725.7868552</v>
      </c>
      <c r="N1239" s="264">
        <v>1725.7868552</v>
      </c>
    </row>
    <row r="1240" spans="1:14" ht="30" hidden="1">
      <c r="A1240" s="249" t="s">
        <v>365</v>
      </c>
      <c r="B1240" s="252" t="s">
        <v>366</v>
      </c>
      <c r="C1240" s="249">
        <v>11</v>
      </c>
      <c r="D1240" s="249" t="s">
        <v>100</v>
      </c>
      <c r="E1240" s="255" t="s">
        <v>84</v>
      </c>
      <c r="L1240" s="264">
        <v>24253.930450364205</v>
      </c>
      <c r="M1240" s="264">
        <v>24253.930450364205</v>
      </c>
      <c r="N1240" s="264">
        <v>24253.930450364205</v>
      </c>
    </row>
    <row r="1241" spans="1:14" hidden="1">
      <c r="E1241" s="255" t="s">
        <v>226</v>
      </c>
      <c r="L1241" s="264">
        <v>442497.59699698945</v>
      </c>
      <c r="M1241" s="264">
        <v>442497.59699698945</v>
      </c>
      <c r="N1241" s="264">
        <v>442497.59699698945</v>
      </c>
    </row>
    <row r="1242" spans="1:14" hidden="1">
      <c r="E1242" s="255" t="s">
        <v>192</v>
      </c>
      <c r="L1242" s="264">
        <v>2082.1162977676672</v>
      </c>
      <c r="M1242" s="264">
        <v>2082.1162977676672</v>
      </c>
      <c r="N1242" s="264">
        <v>2082.1162977676672</v>
      </c>
    </row>
    <row r="1243" spans="1:14" hidden="1">
      <c r="E1243" s="255" t="s">
        <v>367</v>
      </c>
      <c r="L1243" s="264">
        <v>69031.814573410491</v>
      </c>
      <c r="M1243" s="264">
        <v>69031.814573410491</v>
      </c>
      <c r="N1243" s="264">
        <v>69031.814573410491</v>
      </c>
    </row>
    <row r="1244" spans="1:14" ht="30" hidden="1">
      <c r="A1244" s="249" t="s">
        <v>415</v>
      </c>
      <c r="B1244" s="252" t="s">
        <v>416</v>
      </c>
      <c r="C1244" s="249">
        <v>52</v>
      </c>
      <c r="D1244" s="249" t="s">
        <v>69</v>
      </c>
      <c r="L1244" s="264"/>
      <c r="M1244" s="264"/>
      <c r="N1244" s="264"/>
    </row>
    <row r="1245" spans="1:14" hidden="1">
      <c r="E1245" s="255" t="s">
        <v>226</v>
      </c>
      <c r="L1245" s="264">
        <v>27007</v>
      </c>
      <c r="M1245" s="264">
        <v>3960</v>
      </c>
      <c r="N1245" s="264"/>
    </row>
    <row r="1246" spans="1:14" hidden="1">
      <c r="E1246" s="255" t="s">
        <v>367</v>
      </c>
      <c r="L1246" s="264">
        <v>3010</v>
      </c>
      <c r="M1246" s="264"/>
      <c r="N1246" s="264"/>
    </row>
    <row r="1247" spans="1:14" ht="30" hidden="1">
      <c r="A1247" s="249" t="s">
        <v>417</v>
      </c>
      <c r="B1247" s="252" t="s">
        <v>418</v>
      </c>
      <c r="C1247" s="249">
        <v>31</v>
      </c>
      <c r="D1247" s="249" t="s">
        <v>333</v>
      </c>
      <c r="E1247" s="255" t="s">
        <v>84</v>
      </c>
      <c r="L1247" s="264">
        <v>175145</v>
      </c>
      <c r="M1247" s="264">
        <v>281775</v>
      </c>
      <c r="N1247" s="264">
        <v>281775</v>
      </c>
    </row>
    <row r="1248" spans="1:14" hidden="1">
      <c r="E1248" s="255" t="s">
        <v>226</v>
      </c>
      <c r="L1248" s="264">
        <v>181025</v>
      </c>
      <c r="M1248" s="264">
        <v>429442</v>
      </c>
      <c r="N1248" s="264">
        <v>429442</v>
      </c>
    </row>
    <row r="1249" spans="1:14" hidden="1">
      <c r="E1249" s="255" t="s">
        <v>192</v>
      </c>
      <c r="L1249" s="264">
        <v>1376</v>
      </c>
      <c r="M1249" s="264">
        <v>1500</v>
      </c>
      <c r="N1249" s="264">
        <v>1500</v>
      </c>
    </row>
    <row r="1250" spans="1:14" hidden="1">
      <c r="E1250" s="255" t="s">
        <v>209</v>
      </c>
      <c r="L1250" s="264">
        <v>3982</v>
      </c>
      <c r="M1250" s="264">
        <v>6000</v>
      </c>
      <c r="N1250" s="264">
        <v>6000</v>
      </c>
    </row>
    <row r="1251" spans="1:14" hidden="1">
      <c r="E1251" s="255" t="s">
        <v>215</v>
      </c>
      <c r="L1251" s="264">
        <v>15359</v>
      </c>
      <c r="M1251" s="264">
        <v>20000</v>
      </c>
      <c r="N1251" s="264">
        <v>20000</v>
      </c>
    </row>
    <row r="1252" spans="1:14" hidden="1">
      <c r="E1252" s="255" t="s">
        <v>283</v>
      </c>
      <c r="L1252" s="264">
        <v>145665</v>
      </c>
      <c r="M1252" s="264">
        <v>30000</v>
      </c>
      <c r="N1252" s="264">
        <v>30000</v>
      </c>
    </row>
    <row r="1253" spans="1:14" hidden="1">
      <c r="E1253" s="255" t="s">
        <v>367</v>
      </c>
      <c r="L1253" s="264">
        <v>13903</v>
      </c>
      <c r="M1253" s="264">
        <v>14700</v>
      </c>
      <c r="N1253" s="264">
        <v>14700</v>
      </c>
    </row>
    <row r="1254" spans="1:14" hidden="1">
      <c r="C1254" s="249">
        <v>43</v>
      </c>
      <c r="D1254" s="249" t="s">
        <v>104</v>
      </c>
      <c r="E1254" s="255" t="s">
        <v>84</v>
      </c>
      <c r="L1254" s="264">
        <v>29378</v>
      </c>
      <c r="M1254" s="264">
        <v>34950</v>
      </c>
      <c r="N1254" s="264">
        <v>34950</v>
      </c>
    </row>
    <row r="1255" spans="1:14" hidden="1">
      <c r="E1255" s="255" t="s">
        <v>226</v>
      </c>
      <c r="L1255" s="264">
        <v>157496</v>
      </c>
      <c r="M1255" s="264">
        <v>226050</v>
      </c>
      <c r="N1255" s="264">
        <v>230010</v>
      </c>
    </row>
    <row r="1256" spans="1:14" hidden="1">
      <c r="E1256" s="255" t="s">
        <v>215</v>
      </c>
      <c r="L1256" s="264"/>
      <c r="M1256" s="264"/>
      <c r="N1256" s="264"/>
    </row>
    <row r="1257" spans="1:14" hidden="1">
      <c r="C1257" s="249">
        <v>52</v>
      </c>
      <c r="D1257" s="249" t="s">
        <v>69</v>
      </c>
      <c r="E1257" s="255" t="s">
        <v>84</v>
      </c>
      <c r="L1257" s="264">
        <v>9153</v>
      </c>
      <c r="M1257" s="264">
        <v>9320</v>
      </c>
      <c r="N1257" s="264">
        <v>9320</v>
      </c>
    </row>
    <row r="1258" spans="1:14" hidden="1">
      <c r="E1258" s="255" t="s">
        <v>226</v>
      </c>
      <c r="L1258" s="264">
        <v>38281</v>
      </c>
      <c r="M1258" s="264">
        <v>41200</v>
      </c>
      <c r="N1258" s="264">
        <v>41200</v>
      </c>
    </row>
    <row r="1259" spans="1:14" hidden="1">
      <c r="E1259" s="255" t="s">
        <v>209</v>
      </c>
      <c r="L1259" s="264">
        <v>5309</v>
      </c>
      <c r="M1259" s="264">
        <v>5000</v>
      </c>
      <c r="N1259" s="264">
        <v>5000</v>
      </c>
    </row>
    <row r="1260" spans="1:14" hidden="1">
      <c r="E1260" s="255" t="s">
        <v>367</v>
      </c>
      <c r="L1260" s="264">
        <v>3981</v>
      </c>
      <c r="M1260" s="264">
        <v>4500</v>
      </c>
      <c r="N1260" s="264">
        <v>4500</v>
      </c>
    </row>
    <row r="1261" spans="1:14" hidden="1">
      <c r="C1261" s="249">
        <v>61</v>
      </c>
      <c r="D1261" s="249" t="s">
        <v>276</v>
      </c>
      <c r="E1261" s="255" t="s">
        <v>226</v>
      </c>
      <c r="L1261" s="264">
        <v>13272</v>
      </c>
      <c r="M1261" s="264">
        <v>14100</v>
      </c>
      <c r="N1261" s="264">
        <v>14100</v>
      </c>
    </row>
    <row r="1262" spans="1:14" ht="30" hidden="1">
      <c r="A1262" s="249" t="s">
        <v>413</v>
      </c>
      <c r="B1262" s="252" t="s">
        <v>414</v>
      </c>
      <c r="C1262" s="249">
        <v>11</v>
      </c>
      <c r="D1262" s="249" t="s">
        <v>100</v>
      </c>
      <c r="E1262" s="255" t="s">
        <v>84</v>
      </c>
      <c r="L1262" s="264">
        <v>5022690.1252961997</v>
      </c>
      <c r="M1262" s="264">
        <v>5046710.895390166</v>
      </c>
      <c r="N1262" s="264">
        <v>5070844.2750511765</v>
      </c>
    </row>
    <row r="1263" spans="1:14" hidden="1">
      <c r="E1263" s="255" t="s">
        <v>226</v>
      </c>
      <c r="L1263" s="264">
        <v>84367.992620675519</v>
      </c>
      <c r="M1263" s="264">
        <v>84771.478422800588</v>
      </c>
      <c r="N1263" s="264">
        <v>85176.855769672446</v>
      </c>
    </row>
    <row r="1264" spans="1:14" hidden="1">
      <c r="A1264" s="249" t="s">
        <v>383</v>
      </c>
      <c r="B1264" s="252" t="s">
        <v>384</v>
      </c>
      <c r="C1264" s="249">
        <v>11</v>
      </c>
      <c r="D1264" s="249" t="s">
        <v>100</v>
      </c>
      <c r="E1264" s="255" t="s">
        <v>84</v>
      </c>
      <c r="L1264" s="264">
        <v>36245.425512000002</v>
      </c>
      <c r="M1264" s="264">
        <v>36245.425512000002</v>
      </c>
      <c r="N1264" s="264">
        <v>36245.425512000002</v>
      </c>
    </row>
    <row r="1265" spans="1:14" ht="30" hidden="1">
      <c r="A1265" s="249" t="s">
        <v>365</v>
      </c>
      <c r="B1265" s="252" t="s">
        <v>366</v>
      </c>
      <c r="C1265" s="249">
        <v>11</v>
      </c>
      <c r="D1265" s="249" t="s">
        <v>100</v>
      </c>
      <c r="E1265" s="255" t="s">
        <v>226</v>
      </c>
      <c r="L1265" s="264">
        <v>691432.68062783463</v>
      </c>
      <c r="M1265" s="264">
        <v>691432.68062783463</v>
      </c>
      <c r="N1265" s="264">
        <v>691432.68062783463</v>
      </c>
    </row>
    <row r="1266" spans="1:14" hidden="1">
      <c r="E1266" s="255" t="s">
        <v>192</v>
      </c>
      <c r="L1266" s="264">
        <v>989.04652050978007</v>
      </c>
      <c r="M1266" s="264">
        <v>989.04652050978007</v>
      </c>
      <c r="N1266" s="264">
        <v>989.04652050978007</v>
      </c>
    </row>
    <row r="1267" spans="1:14" hidden="1">
      <c r="E1267" s="255" t="s">
        <v>204</v>
      </c>
      <c r="L1267" s="264">
        <v>28489.163046537138</v>
      </c>
      <c r="M1267" s="264">
        <v>28489.163046537138</v>
      </c>
      <c r="N1267" s="264">
        <v>28489.163046537138</v>
      </c>
    </row>
    <row r="1268" spans="1:14" hidden="1">
      <c r="E1268" s="255" t="s">
        <v>367</v>
      </c>
      <c r="L1268" s="264">
        <v>130306.46628646215</v>
      </c>
      <c r="M1268" s="264">
        <v>130306.46628646215</v>
      </c>
      <c r="N1268" s="264">
        <v>130306.46628646215</v>
      </c>
    </row>
    <row r="1269" spans="1:14" ht="30" hidden="1">
      <c r="A1269" s="249" t="s">
        <v>415</v>
      </c>
      <c r="B1269" s="252" t="s">
        <v>416</v>
      </c>
      <c r="C1269" s="249">
        <v>31</v>
      </c>
      <c r="D1269" s="249" t="s">
        <v>333</v>
      </c>
      <c r="E1269" s="255" t="s">
        <v>84</v>
      </c>
      <c r="L1269" s="264">
        <v>4265</v>
      </c>
      <c r="M1269" s="264"/>
      <c r="N1269" s="264"/>
    </row>
    <row r="1270" spans="1:14" hidden="1">
      <c r="E1270" s="255" t="s">
        <v>226</v>
      </c>
      <c r="L1270" s="264">
        <v>3980</v>
      </c>
      <c r="M1270" s="264"/>
      <c r="N1270" s="264"/>
    </row>
    <row r="1271" spans="1:14" hidden="1">
      <c r="C1271" s="249">
        <v>51</v>
      </c>
      <c r="D1271" s="249" t="s">
        <v>109</v>
      </c>
      <c r="E1271" s="255" t="s">
        <v>84</v>
      </c>
      <c r="L1271" s="264">
        <v>128177</v>
      </c>
      <c r="M1271" s="264">
        <v>111974</v>
      </c>
      <c r="N1271" s="264">
        <v>108821</v>
      </c>
    </row>
    <row r="1272" spans="1:14" hidden="1">
      <c r="E1272" s="255" t="s">
        <v>226</v>
      </c>
      <c r="L1272" s="264">
        <v>34197</v>
      </c>
      <c r="M1272" s="264">
        <v>12970</v>
      </c>
      <c r="N1272" s="264">
        <v>10315</v>
      </c>
    </row>
    <row r="1273" spans="1:14" hidden="1">
      <c r="E1273" s="255" t="s">
        <v>367</v>
      </c>
      <c r="L1273" s="264">
        <v>3598</v>
      </c>
      <c r="M1273" s="264">
        <v>225</v>
      </c>
      <c r="N1273" s="264">
        <v>225</v>
      </c>
    </row>
    <row r="1274" spans="1:14" hidden="1">
      <c r="C1274" s="249">
        <v>52</v>
      </c>
      <c r="D1274" s="249" t="s">
        <v>69</v>
      </c>
      <c r="E1274" s="255" t="s">
        <v>84</v>
      </c>
      <c r="L1274" s="264">
        <v>83156</v>
      </c>
      <c r="M1274" s="264"/>
      <c r="N1274" s="264"/>
    </row>
    <row r="1275" spans="1:14" hidden="1">
      <c r="E1275" s="255" t="s">
        <v>226</v>
      </c>
      <c r="L1275" s="264">
        <v>636151</v>
      </c>
      <c r="M1275" s="264"/>
      <c r="N1275" s="264"/>
    </row>
    <row r="1276" spans="1:14" hidden="1">
      <c r="C1276" s="249">
        <v>61</v>
      </c>
      <c r="D1276" s="249" t="s">
        <v>276</v>
      </c>
      <c r="E1276" s="255" t="s">
        <v>84</v>
      </c>
      <c r="L1276" s="264">
        <v>28586</v>
      </c>
      <c r="M1276" s="264"/>
      <c r="N1276" s="264"/>
    </row>
    <row r="1277" spans="1:14" hidden="1">
      <c r="E1277" s="255" t="s">
        <v>226</v>
      </c>
      <c r="L1277" s="264">
        <v>36101</v>
      </c>
      <c r="M1277" s="264"/>
      <c r="N1277" s="264"/>
    </row>
    <row r="1278" spans="1:14" hidden="1">
      <c r="E1278" s="255" t="s">
        <v>367</v>
      </c>
      <c r="L1278" s="264">
        <v>28190</v>
      </c>
      <c r="M1278" s="264"/>
      <c r="N1278" s="264"/>
    </row>
    <row r="1279" spans="1:14" ht="30" hidden="1">
      <c r="A1279" s="249" t="s">
        <v>417</v>
      </c>
      <c r="B1279" s="252" t="s">
        <v>418</v>
      </c>
      <c r="C1279" s="249">
        <v>31</v>
      </c>
      <c r="D1279" s="249" t="s">
        <v>333</v>
      </c>
      <c r="E1279" s="255" t="s">
        <v>84</v>
      </c>
      <c r="L1279" s="264">
        <v>91661</v>
      </c>
      <c r="M1279" s="264">
        <v>91661</v>
      </c>
      <c r="N1279" s="264">
        <v>91661</v>
      </c>
    </row>
    <row r="1280" spans="1:14" hidden="1">
      <c r="E1280" s="255" t="s">
        <v>226</v>
      </c>
      <c r="L1280" s="264">
        <v>320507</v>
      </c>
      <c r="M1280" s="264">
        <v>320507</v>
      </c>
      <c r="N1280" s="264">
        <v>320507</v>
      </c>
    </row>
    <row r="1281" spans="1:14" hidden="1">
      <c r="E1281" s="255" t="s">
        <v>192</v>
      </c>
      <c r="L1281" s="264">
        <v>420</v>
      </c>
      <c r="M1281" s="264">
        <v>420</v>
      </c>
      <c r="N1281" s="264">
        <v>420</v>
      </c>
    </row>
    <row r="1282" spans="1:14" hidden="1">
      <c r="E1282" s="255" t="s">
        <v>215</v>
      </c>
      <c r="L1282" s="264">
        <v>9291</v>
      </c>
      <c r="M1282" s="264">
        <v>9291</v>
      </c>
      <c r="N1282" s="264">
        <v>9291</v>
      </c>
    </row>
    <row r="1283" spans="1:14" hidden="1">
      <c r="E1283" s="255" t="s">
        <v>367</v>
      </c>
      <c r="L1283" s="264">
        <v>71224</v>
      </c>
      <c r="M1283" s="264">
        <v>71224</v>
      </c>
      <c r="N1283" s="264">
        <v>71224</v>
      </c>
    </row>
    <row r="1284" spans="1:14" hidden="1">
      <c r="C1284" s="249">
        <v>43</v>
      </c>
      <c r="D1284" s="249" t="s">
        <v>104</v>
      </c>
      <c r="E1284" s="255" t="s">
        <v>84</v>
      </c>
      <c r="L1284" s="264">
        <v>2286030</v>
      </c>
      <c r="M1284" s="264">
        <v>2286030</v>
      </c>
      <c r="N1284" s="264">
        <v>2286030</v>
      </c>
    </row>
    <row r="1285" spans="1:14" hidden="1">
      <c r="E1285" s="255" t="s">
        <v>226</v>
      </c>
      <c r="L1285" s="264">
        <v>1113679</v>
      </c>
      <c r="M1285" s="264">
        <v>1013679</v>
      </c>
      <c r="N1285" s="264">
        <v>1013679</v>
      </c>
    </row>
    <row r="1286" spans="1:14" hidden="1">
      <c r="E1286" s="255" t="s">
        <v>192</v>
      </c>
      <c r="L1286" s="264">
        <v>11414</v>
      </c>
      <c r="M1286" s="264">
        <v>11414</v>
      </c>
      <c r="N1286" s="264">
        <v>11414</v>
      </c>
    </row>
    <row r="1287" spans="1:14" hidden="1">
      <c r="E1287" s="255" t="s">
        <v>204</v>
      </c>
      <c r="L1287" s="264">
        <v>5857</v>
      </c>
      <c r="M1287" s="264">
        <v>5857</v>
      </c>
      <c r="N1287" s="264">
        <v>5857</v>
      </c>
    </row>
    <row r="1288" spans="1:14" hidden="1">
      <c r="E1288" s="255" t="s">
        <v>367</v>
      </c>
      <c r="L1288" s="264">
        <v>177717</v>
      </c>
      <c r="M1288" s="264">
        <v>177717</v>
      </c>
      <c r="N1288" s="264">
        <v>177717</v>
      </c>
    </row>
    <row r="1289" spans="1:14" hidden="1">
      <c r="C1289" s="249">
        <v>52</v>
      </c>
      <c r="D1289" s="249" t="s">
        <v>69</v>
      </c>
      <c r="E1289" s="255" t="s">
        <v>84</v>
      </c>
      <c r="L1289" s="264">
        <v>304533</v>
      </c>
      <c r="M1289" s="264">
        <v>193152</v>
      </c>
      <c r="N1289" s="264">
        <v>65651</v>
      </c>
    </row>
    <row r="1290" spans="1:14" hidden="1">
      <c r="E1290" s="255" t="s">
        <v>226</v>
      </c>
      <c r="L1290" s="264">
        <v>208188</v>
      </c>
      <c r="M1290" s="264">
        <v>119046</v>
      </c>
      <c r="N1290" s="264">
        <v>87998</v>
      </c>
    </row>
    <row r="1291" spans="1:14" hidden="1">
      <c r="E1291" s="255" t="s">
        <v>367</v>
      </c>
      <c r="L1291" s="264">
        <v>57330</v>
      </c>
      <c r="M1291" s="264">
        <v>1991</v>
      </c>
      <c r="N1291" s="264">
        <v>1327</v>
      </c>
    </row>
    <row r="1292" spans="1:14" hidden="1">
      <c r="E1292" s="255" t="s">
        <v>322</v>
      </c>
      <c r="L1292" s="264">
        <v>3981</v>
      </c>
      <c r="M1292" s="264"/>
      <c r="N1292" s="264"/>
    </row>
    <row r="1293" spans="1:14" hidden="1">
      <c r="C1293" s="249">
        <v>61</v>
      </c>
      <c r="D1293" s="249" t="s">
        <v>276</v>
      </c>
      <c r="E1293" s="255" t="s">
        <v>226</v>
      </c>
      <c r="L1293" s="264">
        <v>47870</v>
      </c>
      <c r="M1293" s="264">
        <v>47870</v>
      </c>
      <c r="N1293" s="264">
        <v>47870</v>
      </c>
    </row>
    <row r="1294" spans="1:14" hidden="1">
      <c r="E1294" s="255" t="s">
        <v>192</v>
      </c>
      <c r="L1294" s="264">
        <v>166</v>
      </c>
      <c r="M1294" s="264">
        <v>166</v>
      </c>
      <c r="N1294" s="264">
        <v>166</v>
      </c>
    </row>
    <row r="1295" spans="1:14" hidden="1">
      <c r="E1295" s="255" t="s">
        <v>367</v>
      </c>
      <c r="L1295" s="264">
        <v>4057</v>
      </c>
      <c r="M1295" s="264">
        <v>4057</v>
      </c>
      <c r="N1295" s="264">
        <v>4057</v>
      </c>
    </row>
    <row r="1296" spans="1:14" ht="30" hidden="1">
      <c r="A1296" s="249" t="s">
        <v>388</v>
      </c>
      <c r="B1296" s="252" t="s">
        <v>389</v>
      </c>
      <c r="C1296" s="249">
        <v>12</v>
      </c>
      <c r="D1296" s="249" t="s">
        <v>102</v>
      </c>
      <c r="E1296" s="255" t="s">
        <v>84</v>
      </c>
      <c r="L1296" s="264">
        <v>769.49679136000668</v>
      </c>
      <c r="M1296" s="264"/>
      <c r="N1296" s="264"/>
    </row>
    <row r="1297" spans="1:14" hidden="1">
      <c r="E1297" s="255" t="s">
        <v>226</v>
      </c>
      <c r="L1297" s="264">
        <v>7091.7064994546845</v>
      </c>
      <c r="M1297" s="264"/>
      <c r="N1297" s="264"/>
    </row>
    <row r="1298" spans="1:14" hidden="1">
      <c r="E1298" s="255" t="s">
        <v>204</v>
      </c>
      <c r="L1298" s="264">
        <v>283.57799642494871</v>
      </c>
      <c r="M1298" s="264"/>
      <c r="N1298" s="264"/>
    </row>
    <row r="1299" spans="1:14" hidden="1">
      <c r="E1299" s="255" t="s">
        <v>367</v>
      </c>
      <c r="L1299" s="264">
        <v>1655.5840056533477</v>
      </c>
      <c r="M1299" s="264"/>
      <c r="N1299" s="264"/>
    </row>
    <row r="1300" spans="1:14" hidden="1">
      <c r="C1300" s="249">
        <v>561</v>
      </c>
      <c r="D1300" s="249" t="s">
        <v>390</v>
      </c>
      <c r="E1300" s="255" t="s">
        <v>84</v>
      </c>
      <c r="L1300" s="264">
        <v>4359.6115243830982</v>
      </c>
      <c r="M1300" s="264"/>
      <c r="N1300" s="264"/>
    </row>
    <row r="1301" spans="1:14" hidden="1">
      <c r="E1301" s="255" t="s">
        <v>226</v>
      </c>
      <c r="L1301" s="264">
        <v>40186.501882887474</v>
      </c>
      <c r="M1301" s="264"/>
      <c r="N1301" s="264"/>
    </row>
    <row r="1302" spans="1:14" hidden="1">
      <c r="E1302" s="255" t="s">
        <v>204</v>
      </c>
      <c r="L1302" s="264">
        <v>1607.399901243389</v>
      </c>
      <c r="M1302" s="264"/>
      <c r="N1302" s="264"/>
    </row>
    <row r="1303" spans="1:14" hidden="1">
      <c r="E1303" s="255" t="s">
        <v>367</v>
      </c>
      <c r="L1303" s="264">
        <v>9381.8900178796393</v>
      </c>
      <c r="M1303" s="264"/>
      <c r="N1303" s="264"/>
    </row>
    <row r="1304" spans="1:14" ht="30" hidden="1">
      <c r="A1304" s="249" t="s">
        <v>413</v>
      </c>
      <c r="B1304" s="252" t="s">
        <v>414</v>
      </c>
      <c r="C1304" s="249">
        <v>11</v>
      </c>
      <c r="D1304" s="249" t="s">
        <v>100</v>
      </c>
      <c r="E1304" s="255" t="s">
        <v>84</v>
      </c>
      <c r="L1304" s="264">
        <v>3293270.1909551341</v>
      </c>
      <c r="M1304" s="264">
        <v>3309020.0947200186</v>
      </c>
      <c r="N1304" s="264">
        <v>3324843.8341628183</v>
      </c>
    </row>
    <row r="1305" spans="1:14" hidden="1">
      <c r="E1305" s="255" t="s">
        <v>226</v>
      </c>
      <c r="L1305" s="264">
        <v>73494.210497205044</v>
      </c>
      <c r="M1305" s="264">
        <v>73845.692967664421</v>
      </c>
      <c r="N1305" s="264">
        <v>74198.823190825598</v>
      </c>
    </row>
    <row r="1306" spans="1:14" ht="30" hidden="1">
      <c r="A1306" s="249" t="s">
        <v>365</v>
      </c>
      <c r="B1306" s="252" t="s">
        <v>366</v>
      </c>
      <c r="C1306" s="249">
        <v>11</v>
      </c>
      <c r="D1306" s="249" t="s">
        <v>100</v>
      </c>
      <c r="E1306" s="255" t="s">
        <v>84</v>
      </c>
      <c r="L1306" s="264">
        <v>40848.942227298336</v>
      </c>
      <c r="M1306" s="264">
        <v>40848.942227298336</v>
      </c>
      <c r="N1306" s="264">
        <v>40848.942227298336</v>
      </c>
    </row>
    <row r="1307" spans="1:14" hidden="1">
      <c r="E1307" s="255" t="s">
        <v>226</v>
      </c>
      <c r="L1307" s="264">
        <v>362527.65441837528</v>
      </c>
      <c r="M1307" s="264">
        <v>362527.65441837528</v>
      </c>
      <c r="N1307" s="264">
        <v>362527.65441837528</v>
      </c>
    </row>
    <row r="1308" spans="1:14" hidden="1">
      <c r="E1308" s="255" t="s">
        <v>192</v>
      </c>
      <c r="L1308" s="264">
        <v>919.6976826777086</v>
      </c>
      <c r="M1308" s="264">
        <v>919.6976826777086</v>
      </c>
      <c r="N1308" s="264">
        <v>919.6976826777086</v>
      </c>
    </row>
    <row r="1309" spans="1:14" hidden="1">
      <c r="E1309" s="255" t="s">
        <v>367</v>
      </c>
      <c r="L1309" s="264">
        <v>1095.5465214661754</v>
      </c>
      <c r="M1309" s="264">
        <v>1095.5465214661754</v>
      </c>
      <c r="N1309" s="264">
        <v>1095.5465214661754</v>
      </c>
    </row>
    <row r="1310" spans="1:14" ht="30" hidden="1">
      <c r="A1310" s="249" t="s">
        <v>415</v>
      </c>
      <c r="B1310" s="252" t="s">
        <v>416</v>
      </c>
      <c r="C1310" s="249">
        <v>52</v>
      </c>
      <c r="D1310" s="249" t="s">
        <v>69</v>
      </c>
      <c r="E1310" s="255" t="s">
        <v>226</v>
      </c>
      <c r="L1310" s="264">
        <v>16811</v>
      </c>
      <c r="M1310" s="264">
        <v>12550</v>
      </c>
      <c r="N1310" s="264">
        <v>1555</v>
      </c>
    </row>
    <row r="1311" spans="1:14" hidden="1">
      <c r="E1311" s="255" t="s">
        <v>367</v>
      </c>
      <c r="L1311" s="264">
        <v>3972</v>
      </c>
      <c r="M1311" s="264">
        <v>2920</v>
      </c>
      <c r="N1311" s="264">
        <v>0</v>
      </c>
    </row>
    <row r="1312" spans="1:14" hidden="1">
      <c r="C1312" s="249">
        <v>61</v>
      </c>
      <c r="D1312" s="249" t="s">
        <v>276</v>
      </c>
      <c r="E1312" s="255" t="s">
        <v>84</v>
      </c>
      <c r="L1312" s="264">
        <v>11945</v>
      </c>
      <c r="M1312" s="264">
        <v>0</v>
      </c>
      <c r="N1312" s="264">
        <v>0</v>
      </c>
    </row>
    <row r="1313" spans="1:14" hidden="1">
      <c r="E1313" s="255" t="s">
        <v>226</v>
      </c>
      <c r="L1313" s="264">
        <v>16426</v>
      </c>
      <c r="M1313" s="264">
        <v>0</v>
      </c>
      <c r="N1313" s="264">
        <v>0</v>
      </c>
    </row>
    <row r="1314" spans="1:14" hidden="1">
      <c r="E1314" s="255" t="s">
        <v>367</v>
      </c>
      <c r="L1314" s="264">
        <v>2654</v>
      </c>
      <c r="M1314" s="264">
        <v>0</v>
      </c>
      <c r="N1314" s="264">
        <v>0</v>
      </c>
    </row>
    <row r="1315" spans="1:14" ht="30" hidden="1">
      <c r="A1315" s="249" t="s">
        <v>417</v>
      </c>
      <c r="B1315" s="252" t="s">
        <v>418</v>
      </c>
      <c r="C1315" s="249">
        <v>31</v>
      </c>
      <c r="D1315" s="249" t="s">
        <v>333</v>
      </c>
      <c r="E1315" s="255" t="s">
        <v>84</v>
      </c>
      <c r="L1315" s="264">
        <v>325221</v>
      </c>
      <c r="M1315" s="264">
        <v>326763</v>
      </c>
      <c r="N1315" s="264">
        <v>326763</v>
      </c>
    </row>
    <row r="1316" spans="1:14" hidden="1">
      <c r="E1316" s="255" t="s">
        <v>226</v>
      </c>
      <c r="L1316" s="264">
        <v>70227</v>
      </c>
      <c r="M1316" s="264">
        <v>71105</v>
      </c>
      <c r="N1316" s="264">
        <v>71105</v>
      </c>
    </row>
    <row r="1317" spans="1:14" hidden="1">
      <c r="E1317" s="255" t="s">
        <v>192</v>
      </c>
      <c r="L1317" s="264">
        <v>531</v>
      </c>
      <c r="M1317" s="264">
        <v>550</v>
      </c>
      <c r="N1317" s="264">
        <v>550</v>
      </c>
    </row>
    <row r="1318" spans="1:14" hidden="1">
      <c r="E1318" s="255" t="s">
        <v>209</v>
      </c>
      <c r="L1318" s="264">
        <v>7963</v>
      </c>
      <c r="M1318" s="264">
        <v>7800</v>
      </c>
      <c r="N1318" s="264">
        <v>7800</v>
      </c>
    </row>
    <row r="1319" spans="1:14" hidden="1">
      <c r="E1319" s="255" t="s">
        <v>215</v>
      </c>
      <c r="L1319" s="264">
        <v>3982</v>
      </c>
      <c r="M1319" s="264">
        <v>3982</v>
      </c>
      <c r="N1319" s="264">
        <v>3982</v>
      </c>
    </row>
    <row r="1320" spans="1:14" hidden="1">
      <c r="C1320" s="249">
        <v>43</v>
      </c>
      <c r="D1320" s="249" t="s">
        <v>104</v>
      </c>
      <c r="E1320" s="255" t="s">
        <v>84</v>
      </c>
      <c r="L1320" s="264">
        <v>202780</v>
      </c>
      <c r="M1320" s="264">
        <v>203191</v>
      </c>
      <c r="N1320" s="264">
        <v>203191</v>
      </c>
    </row>
    <row r="1321" spans="1:14" hidden="1">
      <c r="E1321" s="255" t="s">
        <v>226</v>
      </c>
      <c r="L1321" s="264">
        <v>298795</v>
      </c>
      <c r="M1321" s="264">
        <v>301040</v>
      </c>
      <c r="N1321" s="264">
        <v>301040</v>
      </c>
    </row>
    <row r="1322" spans="1:14" hidden="1">
      <c r="E1322" s="255" t="s">
        <v>192</v>
      </c>
      <c r="L1322" s="264">
        <v>3981</v>
      </c>
      <c r="M1322" s="264">
        <v>3981</v>
      </c>
      <c r="N1322" s="264">
        <v>3981</v>
      </c>
    </row>
    <row r="1323" spans="1:14" hidden="1">
      <c r="E1323" s="255" t="s">
        <v>283</v>
      </c>
      <c r="L1323" s="264">
        <v>18581</v>
      </c>
      <c r="M1323" s="264">
        <v>18581</v>
      </c>
      <c r="N1323" s="264">
        <v>18581</v>
      </c>
    </row>
    <row r="1324" spans="1:14" hidden="1">
      <c r="E1324" s="255" t="s">
        <v>367</v>
      </c>
      <c r="L1324" s="264">
        <v>51430</v>
      </c>
      <c r="M1324" s="264">
        <v>51430</v>
      </c>
      <c r="N1324" s="264">
        <v>51430</v>
      </c>
    </row>
    <row r="1325" spans="1:14" hidden="1">
      <c r="E1325" s="255" t="s">
        <v>322</v>
      </c>
      <c r="L1325" s="264">
        <v>1777</v>
      </c>
      <c r="M1325" s="264">
        <v>1777</v>
      </c>
      <c r="N1325" s="264">
        <v>1777</v>
      </c>
    </row>
    <row r="1326" spans="1:14" ht="30" hidden="1">
      <c r="A1326" s="249" t="s">
        <v>413</v>
      </c>
      <c r="B1326" s="252" t="s">
        <v>414</v>
      </c>
      <c r="C1326" s="249">
        <v>11</v>
      </c>
      <c r="D1326" s="249" t="s">
        <v>100</v>
      </c>
      <c r="E1326" s="255" t="s">
        <v>84</v>
      </c>
      <c r="L1326" s="264">
        <v>3933265.5554277604</v>
      </c>
      <c r="M1326" s="264">
        <v>3952076.2057503061</v>
      </c>
      <c r="N1326" s="264">
        <v>3970975.0405557118</v>
      </c>
    </row>
    <row r="1327" spans="1:14" hidden="1">
      <c r="E1327" s="255" t="s">
        <v>226</v>
      </c>
      <c r="L1327" s="264">
        <v>81601.751542162936</v>
      </c>
      <c r="M1327" s="264">
        <v>81992.007931500484</v>
      </c>
      <c r="N1327" s="264">
        <v>82384.09384598925</v>
      </c>
    </row>
    <row r="1328" spans="1:14" ht="30" hidden="1">
      <c r="A1328" s="249" t="s">
        <v>381</v>
      </c>
      <c r="B1328" s="252" t="s">
        <v>382</v>
      </c>
      <c r="C1328" s="249">
        <v>11</v>
      </c>
      <c r="D1328" s="249" t="s">
        <v>100</v>
      </c>
      <c r="E1328" s="255" t="s">
        <v>226</v>
      </c>
      <c r="L1328" s="264">
        <v>3584.8034979645463</v>
      </c>
      <c r="M1328" s="264">
        <v>3584.8034979645463</v>
      </c>
      <c r="N1328" s="264">
        <v>3584.8034979645463</v>
      </c>
    </row>
    <row r="1329" spans="1:14" hidden="1">
      <c r="A1329" s="249" t="s">
        <v>383</v>
      </c>
      <c r="B1329" s="252" t="s">
        <v>384</v>
      </c>
      <c r="C1329" s="249">
        <v>11</v>
      </c>
      <c r="D1329" s="249" t="s">
        <v>100</v>
      </c>
      <c r="E1329" s="255" t="s">
        <v>84</v>
      </c>
      <c r="L1329" s="264">
        <v>7960.4682296000001</v>
      </c>
      <c r="M1329" s="264">
        <v>7960.4682296000001</v>
      </c>
      <c r="N1329" s="264">
        <v>7960.4682296000001</v>
      </c>
    </row>
    <row r="1330" spans="1:14" hidden="1">
      <c r="E1330" s="255" t="s">
        <v>226</v>
      </c>
      <c r="L1330" s="264">
        <v>2550.3150135999999</v>
      </c>
      <c r="M1330" s="264">
        <v>2550.3150135999999</v>
      </c>
      <c r="N1330" s="264">
        <v>2550.3150135999999</v>
      </c>
    </row>
    <row r="1331" spans="1:14" hidden="1">
      <c r="E1331" s="255" t="s">
        <v>192</v>
      </c>
      <c r="L1331" s="264">
        <v>2433.9186884000001</v>
      </c>
      <c r="M1331" s="264">
        <v>2433.9186884000001</v>
      </c>
      <c r="N1331" s="264">
        <v>2433.9186884000001</v>
      </c>
    </row>
    <row r="1332" spans="1:14" ht="30" hidden="1">
      <c r="A1332" s="249" t="s">
        <v>365</v>
      </c>
      <c r="B1332" s="252" t="s">
        <v>366</v>
      </c>
      <c r="C1332" s="249">
        <v>11</v>
      </c>
      <c r="D1332" s="249" t="s">
        <v>100</v>
      </c>
      <c r="E1332" s="255" t="s">
        <v>226</v>
      </c>
      <c r="L1332" s="264">
        <v>435042.59693004191</v>
      </c>
      <c r="M1332" s="264">
        <v>435042.59693004191</v>
      </c>
      <c r="N1332" s="264">
        <v>435042.59693004191</v>
      </c>
    </row>
    <row r="1333" spans="1:14" hidden="1">
      <c r="E1333" s="255" t="s">
        <v>192</v>
      </c>
      <c r="L1333" s="264">
        <v>1207.0000108391473</v>
      </c>
      <c r="M1333" s="264">
        <v>1207.0000108391473</v>
      </c>
      <c r="N1333" s="264">
        <v>1207.0000108391473</v>
      </c>
    </row>
    <row r="1334" spans="1:14" hidden="1">
      <c r="E1334" s="255" t="s">
        <v>367</v>
      </c>
      <c r="L1334" s="264">
        <v>71121.361103803021</v>
      </c>
      <c r="M1334" s="264">
        <v>71121.361103803021</v>
      </c>
      <c r="N1334" s="264">
        <v>71121.361103803021</v>
      </c>
    </row>
    <row r="1335" spans="1:14" ht="30" hidden="1">
      <c r="A1335" s="249" t="s">
        <v>417</v>
      </c>
      <c r="B1335" s="252" t="s">
        <v>418</v>
      </c>
      <c r="C1335" s="249">
        <v>31</v>
      </c>
      <c r="D1335" s="249" t="s">
        <v>333</v>
      </c>
      <c r="E1335" s="255" t="s">
        <v>84</v>
      </c>
      <c r="L1335" s="264">
        <v>3680</v>
      </c>
      <c r="M1335" s="264">
        <v>3680</v>
      </c>
      <c r="N1335" s="264">
        <v>3680</v>
      </c>
    </row>
    <row r="1336" spans="1:14" hidden="1">
      <c r="E1336" s="255" t="s">
        <v>226</v>
      </c>
      <c r="L1336" s="264">
        <v>26565</v>
      </c>
      <c r="M1336" s="264">
        <v>26565</v>
      </c>
      <c r="N1336" s="264">
        <v>26565</v>
      </c>
    </row>
    <row r="1337" spans="1:14" hidden="1">
      <c r="E1337" s="255" t="s">
        <v>367</v>
      </c>
      <c r="L1337" s="264">
        <v>5590</v>
      </c>
      <c r="M1337" s="264">
        <v>5590</v>
      </c>
      <c r="N1337" s="264">
        <v>5590</v>
      </c>
    </row>
    <row r="1338" spans="1:14" hidden="1">
      <c r="C1338" s="249">
        <v>43</v>
      </c>
      <c r="D1338" s="249" t="s">
        <v>104</v>
      </c>
      <c r="E1338" s="255" t="s">
        <v>84</v>
      </c>
      <c r="L1338" s="264">
        <v>45598</v>
      </c>
      <c r="M1338" s="264">
        <v>45221</v>
      </c>
      <c r="N1338" s="264">
        <v>45221</v>
      </c>
    </row>
    <row r="1339" spans="1:14" hidden="1">
      <c r="E1339" s="255" t="s">
        <v>226</v>
      </c>
      <c r="L1339" s="264">
        <v>24680</v>
      </c>
      <c r="M1339" s="264">
        <v>24615</v>
      </c>
      <c r="N1339" s="264">
        <v>24615</v>
      </c>
    </row>
    <row r="1340" spans="1:14" hidden="1">
      <c r="E1340" s="255" t="s">
        <v>367</v>
      </c>
      <c r="L1340" s="264">
        <v>2720</v>
      </c>
      <c r="M1340" s="264">
        <v>3162</v>
      </c>
      <c r="N1340" s="264">
        <v>3162</v>
      </c>
    </row>
    <row r="1341" spans="1:14" hidden="1">
      <c r="C1341" s="249">
        <v>52</v>
      </c>
      <c r="D1341" s="249" t="s">
        <v>69</v>
      </c>
      <c r="E1341" s="255" t="s">
        <v>226</v>
      </c>
      <c r="L1341" s="264">
        <v>7432</v>
      </c>
      <c r="M1341" s="264">
        <v>7432</v>
      </c>
      <c r="N1341" s="264">
        <v>7432</v>
      </c>
    </row>
    <row r="1342" spans="1:14" hidden="1">
      <c r="E1342" s="255" t="s">
        <v>367</v>
      </c>
      <c r="L1342" s="264">
        <v>398</v>
      </c>
      <c r="M1342" s="264">
        <v>398</v>
      </c>
      <c r="N1342" s="264">
        <v>398</v>
      </c>
    </row>
    <row r="1343" spans="1:14" ht="30" hidden="1">
      <c r="A1343" s="249" t="s">
        <v>419</v>
      </c>
      <c r="B1343" s="252" t="s">
        <v>420</v>
      </c>
      <c r="C1343" s="249">
        <v>11</v>
      </c>
      <c r="D1343" s="249" t="s">
        <v>100</v>
      </c>
      <c r="E1343" s="255" t="s">
        <v>84</v>
      </c>
      <c r="L1343" s="264">
        <v>2666809.210543029</v>
      </c>
      <c r="M1343" s="264">
        <v>2679481.8023392181</v>
      </c>
      <c r="N1343" s="264">
        <v>2692213.841161733</v>
      </c>
    </row>
    <row r="1344" spans="1:14" hidden="1">
      <c r="E1344" s="255" t="s">
        <v>226</v>
      </c>
      <c r="L1344" s="264">
        <v>65997.107060129958</v>
      </c>
      <c r="M1344" s="264">
        <v>66310.723195171013</v>
      </c>
      <c r="N1344" s="264">
        <v>66625.810500982509</v>
      </c>
    </row>
    <row r="1345" spans="1:14" ht="30" hidden="1">
      <c r="A1345" s="249" t="s">
        <v>381</v>
      </c>
      <c r="B1345" s="252" t="s">
        <v>382</v>
      </c>
      <c r="C1345" s="249">
        <v>11</v>
      </c>
      <c r="D1345" s="249" t="s">
        <v>100</v>
      </c>
      <c r="E1345" s="255" t="s">
        <v>226</v>
      </c>
      <c r="L1345" s="264">
        <v>2358</v>
      </c>
      <c r="M1345" s="264">
        <v>2358</v>
      </c>
      <c r="N1345" s="264">
        <v>2358</v>
      </c>
    </row>
    <row r="1346" spans="1:14" ht="30" hidden="1">
      <c r="A1346" s="249" t="s">
        <v>365</v>
      </c>
      <c r="B1346" s="252" t="s">
        <v>366</v>
      </c>
      <c r="C1346" s="249">
        <v>11</v>
      </c>
      <c r="D1346" s="249" t="s">
        <v>100</v>
      </c>
      <c r="E1346" s="255" t="s">
        <v>226</v>
      </c>
      <c r="L1346" s="264">
        <v>179009.16439824257</v>
      </c>
      <c r="M1346" s="264">
        <v>179009.16439824257</v>
      </c>
      <c r="N1346" s="264">
        <v>179009.16439824257</v>
      </c>
    </row>
    <row r="1347" spans="1:14" ht="30" hidden="1">
      <c r="A1347" s="249" t="s">
        <v>421</v>
      </c>
      <c r="B1347" s="252" t="s">
        <v>422</v>
      </c>
      <c r="C1347" s="249">
        <v>31</v>
      </c>
      <c r="D1347" s="249" t="s">
        <v>333</v>
      </c>
      <c r="E1347" s="255" t="s">
        <v>84</v>
      </c>
      <c r="L1347" s="264">
        <v>27879</v>
      </c>
      <c r="M1347" s="264">
        <v>27879</v>
      </c>
      <c r="N1347" s="264">
        <v>27879</v>
      </c>
    </row>
    <row r="1348" spans="1:14" hidden="1">
      <c r="E1348" s="255" t="s">
        <v>226</v>
      </c>
      <c r="L1348" s="264">
        <v>45121</v>
      </c>
      <c r="M1348" s="264">
        <v>45121</v>
      </c>
      <c r="N1348" s="264">
        <v>45121</v>
      </c>
    </row>
    <row r="1349" spans="1:14" hidden="1">
      <c r="C1349" s="249">
        <v>43</v>
      </c>
      <c r="D1349" s="249" t="s">
        <v>104</v>
      </c>
      <c r="E1349" s="255" t="s">
        <v>84</v>
      </c>
      <c r="L1349" s="264">
        <v>150774</v>
      </c>
      <c r="M1349" s="264">
        <v>150774</v>
      </c>
      <c r="N1349" s="264">
        <v>150774</v>
      </c>
    </row>
    <row r="1350" spans="1:14" hidden="1">
      <c r="E1350" s="255" t="s">
        <v>226</v>
      </c>
      <c r="L1350" s="264">
        <v>161785</v>
      </c>
      <c r="M1350" s="264">
        <v>161785</v>
      </c>
      <c r="N1350" s="264">
        <v>161785</v>
      </c>
    </row>
    <row r="1351" spans="1:14" hidden="1">
      <c r="E1351" s="255" t="s">
        <v>192</v>
      </c>
      <c r="L1351" s="264">
        <v>7300</v>
      </c>
      <c r="M1351" s="264">
        <v>7300</v>
      </c>
      <c r="N1351" s="264">
        <v>7300</v>
      </c>
    </row>
    <row r="1352" spans="1:14" hidden="1">
      <c r="E1352" s="255" t="s">
        <v>367</v>
      </c>
      <c r="L1352" s="264">
        <v>31045</v>
      </c>
      <c r="M1352" s="264">
        <v>31045</v>
      </c>
      <c r="N1352" s="264">
        <v>31045</v>
      </c>
    </row>
    <row r="1353" spans="1:14" ht="30" hidden="1">
      <c r="A1353" s="249" t="s">
        <v>401</v>
      </c>
      <c r="B1353" s="252" t="s">
        <v>402</v>
      </c>
      <c r="C1353" s="249">
        <v>11</v>
      </c>
      <c r="D1353" s="249" t="s">
        <v>100</v>
      </c>
      <c r="E1353" s="255" t="s">
        <v>84</v>
      </c>
      <c r="L1353" s="264">
        <v>2163497.9957718626</v>
      </c>
      <c r="M1353" s="264">
        <v>2173580.6570749837</v>
      </c>
      <c r="N1353" s="264">
        <v>2183710.5093181897</v>
      </c>
    </row>
    <row r="1354" spans="1:14" hidden="1">
      <c r="E1354" s="255" t="s">
        <v>226</v>
      </c>
      <c r="L1354" s="264">
        <v>67364.478960616529</v>
      </c>
      <c r="M1354" s="264">
        <v>67678.4211165827</v>
      </c>
      <c r="N1354" s="264">
        <v>67993.832649038566</v>
      </c>
    </row>
    <row r="1355" spans="1:14" ht="30" hidden="1">
      <c r="A1355" s="249" t="s">
        <v>365</v>
      </c>
      <c r="B1355" s="252" t="s">
        <v>366</v>
      </c>
      <c r="C1355" s="249">
        <v>11</v>
      </c>
      <c r="D1355" s="249" t="s">
        <v>100</v>
      </c>
      <c r="E1355" s="255" t="s">
        <v>84</v>
      </c>
      <c r="L1355" s="264">
        <v>5729.5299659333896</v>
      </c>
      <c r="M1355" s="264">
        <v>5729.5299659333896</v>
      </c>
      <c r="N1355" s="264">
        <v>5729.5299659333896</v>
      </c>
    </row>
    <row r="1356" spans="1:14" hidden="1">
      <c r="E1356" s="255" t="s">
        <v>226</v>
      </c>
      <c r="L1356" s="264">
        <v>308048.92164102674</v>
      </c>
      <c r="M1356" s="264">
        <v>308048.92164102674</v>
      </c>
      <c r="N1356" s="264">
        <v>308048.92164102674</v>
      </c>
    </row>
    <row r="1357" spans="1:14" hidden="1">
      <c r="E1357" s="255" t="s">
        <v>192</v>
      </c>
      <c r="L1357" s="264">
        <v>947.76662837053777</v>
      </c>
      <c r="M1357" s="264">
        <v>947.76662837053777</v>
      </c>
      <c r="N1357" s="264">
        <v>947.76662837053777</v>
      </c>
    </row>
    <row r="1358" spans="1:14" hidden="1">
      <c r="E1358" s="255" t="s">
        <v>283</v>
      </c>
      <c r="L1358" s="264">
        <v>13192.779374008009</v>
      </c>
      <c r="M1358" s="264">
        <v>13192.779374008009</v>
      </c>
      <c r="N1358" s="264">
        <v>13192.779374008009</v>
      </c>
    </row>
    <row r="1359" spans="1:14" hidden="1">
      <c r="E1359" s="255" t="s">
        <v>367</v>
      </c>
      <c r="L1359" s="264">
        <v>48970.969594995811</v>
      </c>
      <c r="M1359" s="264">
        <v>48970.969594995811</v>
      </c>
      <c r="N1359" s="264">
        <v>48970.969594995811</v>
      </c>
    </row>
    <row r="1360" spans="1:14" ht="30" hidden="1">
      <c r="A1360" s="249" t="s">
        <v>403</v>
      </c>
      <c r="B1360" s="252" t="s">
        <v>404</v>
      </c>
      <c r="C1360" s="249">
        <v>52</v>
      </c>
      <c r="D1360" s="249" t="s">
        <v>69</v>
      </c>
      <c r="E1360" s="255" t="s">
        <v>226</v>
      </c>
      <c r="L1360" s="264">
        <v>14530</v>
      </c>
      <c r="M1360" s="264">
        <v>12333</v>
      </c>
      <c r="N1360" s="264">
        <v>4603</v>
      </c>
    </row>
    <row r="1361" spans="1:14" hidden="1">
      <c r="E1361" s="255" t="s">
        <v>209</v>
      </c>
      <c r="L1361" s="264">
        <v>74039</v>
      </c>
      <c r="M1361" s="264">
        <v>21698</v>
      </c>
      <c r="N1361" s="264">
        <v>5336</v>
      </c>
    </row>
    <row r="1362" spans="1:14" ht="45" hidden="1">
      <c r="A1362" s="249" t="s">
        <v>405</v>
      </c>
      <c r="B1362" s="252" t="s">
        <v>406</v>
      </c>
      <c r="C1362" s="249">
        <v>31</v>
      </c>
      <c r="D1362" s="249" t="s">
        <v>333</v>
      </c>
      <c r="E1362" s="255" t="s">
        <v>226</v>
      </c>
      <c r="L1362" s="264">
        <v>15264</v>
      </c>
      <c r="M1362" s="264">
        <v>13430</v>
      </c>
      <c r="N1362" s="264">
        <v>13930</v>
      </c>
    </row>
    <row r="1363" spans="1:14" hidden="1">
      <c r="C1363" s="249">
        <v>43</v>
      </c>
      <c r="D1363" s="249" t="s">
        <v>104</v>
      </c>
      <c r="E1363" s="255" t="s">
        <v>84</v>
      </c>
      <c r="L1363" s="264">
        <v>487852</v>
      </c>
      <c r="M1363" s="264">
        <v>500500</v>
      </c>
      <c r="N1363" s="264">
        <v>508000</v>
      </c>
    </row>
    <row r="1364" spans="1:14" hidden="1">
      <c r="E1364" s="255" t="s">
        <v>226</v>
      </c>
      <c r="L1364" s="264">
        <v>325313</v>
      </c>
      <c r="M1364" s="264">
        <v>339400</v>
      </c>
      <c r="N1364" s="264">
        <v>342438</v>
      </c>
    </row>
    <row r="1365" spans="1:14" hidden="1">
      <c r="E1365" s="255" t="s">
        <v>192</v>
      </c>
      <c r="L1365" s="264">
        <v>5073</v>
      </c>
      <c r="M1365" s="264">
        <v>5560</v>
      </c>
      <c r="N1365" s="264">
        <v>5560</v>
      </c>
    </row>
    <row r="1366" spans="1:14" hidden="1">
      <c r="E1366" s="255" t="s">
        <v>215</v>
      </c>
      <c r="L1366" s="264">
        <v>6636</v>
      </c>
      <c r="M1366" s="264">
        <v>7000</v>
      </c>
      <c r="N1366" s="264">
        <v>7000</v>
      </c>
    </row>
    <row r="1367" spans="1:14" hidden="1">
      <c r="E1367" s="255" t="s">
        <v>283</v>
      </c>
      <c r="L1367" s="264">
        <v>99472</v>
      </c>
      <c r="M1367" s="264">
        <v>88000</v>
      </c>
      <c r="N1367" s="264">
        <v>87000</v>
      </c>
    </row>
    <row r="1368" spans="1:14" hidden="1">
      <c r="E1368" s="255" t="s">
        <v>367</v>
      </c>
      <c r="L1368" s="264">
        <v>14014</v>
      </c>
      <c r="M1368" s="264">
        <v>15900</v>
      </c>
      <c r="N1368" s="264">
        <v>17900</v>
      </c>
    </row>
    <row r="1369" spans="1:14" ht="30" hidden="1">
      <c r="A1369" s="249" t="s">
        <v>388</v>
      </c>
      <c r="B1369" s="252" t="s">
        <v>389</v>
      </c>
      <c r="C1369" s="249">
        <v>12</v>
      </c>
      <c r="D1369" s="249" t="s">
        <v>102</v>
      </c>
      <c r="E1369" s="255" t="s">
        <v>226</v>
      </c>
      <c r="L1369" s="264"/>
      <c r="M1369" s="264"/>
      <c r="N1369" s="264"/>
    </row>
    <row r="1370" spans="1:14" hidden="1">
      <c r="E1370" s="255" t="s">
        <v>283</v>
      </c>
      <c r="L1370" s="264"/>
      <c r="M1370" s="264"/>
      <c r="N1370" s="264"/>
    </row>
    <row r="1371" spans="1:14" hidden="1">
      <c r="E1371" s="255" t="s">
        <v>367</v>
      </c>
      <c r="L1371" s="264"/>
      <c r="M1371" s="264"/>
      <c r="N1371" s="264"/>
    </row>
    <row r="1372" spans="1:14" hidden="1">
      <c r="C1372" s="249">
        <v>561</v>
      </c>
      <c r="D1372" s="249" t="s">
        <v>390</v>
      </c>
      <c r="E1372" s="255" t="s">
        <v>226</v>
      </c>
      <c r="L1372" s="264"/>
      <c r="M1372" s="264"/>
      <c r="N1372" s="264"/>
    </row>
    <row r="1373" spans="1:14" hidden="1">
      <c r="E1373" s="255" t="s">
        <v>283</v>
      </c>
      <c r="L1373" s="264"/>
      <c r="M1373" s="264"/>
      <c r="N1373" s="264"/>
    </row>
    <row r="1374" spans="1:14" hidden="1">
      <c r="E1374" s="255" t="s">
        <v>367</v>
      </c>
      <c r="L1374" s="264"/>
      <c r="M1374" s="264"/>
      <c r="N1374" s="264"/>
    </row>
    <row r="1375" spans="1:14" ht="30" hidden="1">
      <c r="A1375" s="249" t="s">
        <v>419</v>
      </c>
      <c r="B1375" s="252" t="s">
        <v>420</v>
      </c>
      <c r="C1375" s="249">
        <v>11</v>
      </c>
      <c r="D1375" s="249" t="s">
        <v>100</v>
      </c>
      <c r="E1375" s="255" t="s">
        <v>84</v>
      </c>
      <c r="L1375" s="264">
        <v>2860114.2346811201</v>
      </c>
      <c r="M1375" s="264">
        <v>2873705.4057492604</v>
      </c>
      <c r="N1375" s="264">
        <v>2887360.3328917138</v>
      </c>
    </row>
    <row r="1376" spans="1:14" hidden="1">
      <c r="E1376" s="255" t="s">
        <v>226</v>
      </c>
      <c r="L1376" s="264">
        <v>42175.491166504908</v>
      </c>
      <c r="M1376" s="264">
        <v>42375.907747205121</v>
      </c>
      <c r="N1376" s="264">
        <v>42577.264480475613</v>
      </c>
    </row>
    <row r="1377" spans="1:14" ht="30" hidden="1">
      <c r="A1377" s="249" t="s">
        <v>365</v>
      </c>
      <c r="B1377" s="252" t="s">
        <v>366</v>
      </c>
      <c r="C1377" s="249">
        <v>11</v>
      </c>
      <c r="D1377" s="249" t="s">
        <v>100</v>
      </c>
      <c r="E1377" s="255" t="s">
        <v>226</v>
      </c>
      <c r="L1377" s="264">
        <v>274958.23502732994</v>
      </c>
      <c r="M1377" s="264">
        <v>274958.23502732994</v>
      </c>
      <c r="N1377" s="264">
        <v>274958.23502732994</v>
      </c>
    </row>
    <row r="1378" spans="1:14" hidden="1">
      <c r="E1378" s="255" t="s">
        <v>192</v>
      </c>
      <c r="L1378" s="264">
        <v>8765.1977531321663</v>
      </c>
      <c r="M1378" s="264">
        <v>8765.1977531321663</v>
      </c>
      <c r="N1378" s="264">
        <v>8765.1977531321663</v>
      </c>
    </row>
    <row r="1379" spans="1:14" hidden="1">
      <c r="E1379" s="255" t="s">
        <v>367</v>
      </c>
      <c r="L1379" s="264">
        <v>45035.465520708269</v>
      </c>
      <c r="M1379" s="264">
        <v>45035.465520708269</v>
      </c>
      <c r="N1379" s="264">
        <v>45035.465520708269</v>
      </c>
    </row>
    <row r="1380" spans="1:14" ht="30" hidden="1">
      <c r="A1380" s="249" t="s">
        <v>423</v>
      </c>
      <c r="B1380" s="252" t="s">
        <v>424</v>
      </c>
      <c r="C1380" s="249">
        <v>51</v>
      </c>
      <c r="D1380" s="249" t="s">
        <v>109</v>
      </c>
      <c r="E1380" s="255" t="s">
        <v>226</v>
      </c>
      <c r="L1380" s="264">
        <v>37063</v>
      </c>
      <c r="M1380" s="264">
        <v>0</v>
      </c>
      <c r="N1380" s="264">
        <v>0</v>
      </c>
    </row>
    <row r="1381" spans="1:14" hidden="1">
      <c r="C1381" s="249">
        <v>61</v>
      </c>
      <c r="D1381" s="249" t="s">
        <v>276</v>
      </c>
      <c r="E1381" s="255" t="s">
        <v>84</v>
      </c>
      <c r="L1381" s="264">
        <v>96556</v>
      </c>
      <c r="M1381" s="264">
        <v>0</v>
      </c>
      <c r="N1381" s="264">
        <v>0</v>
      </c>
    </row>
    <row r="1382" spans="1:14" hidden="1">
      <c r="E1382" s="255" t="s">
        <v>226</v>
      </c>
      <c r="L1382" s="264">
        <v>17140</v>
      </c>
      <c r="M1382" s="264">
        <v>0</v>
      </c>
      <c r="N1382" s="264">
        <v>0</v>
      </c>
    </row>
    <row r="1383" spans="1:14" ht="30" hidden="1">
      <c r="A1383" s="249" t="s">
        <v>421</v>
      </c>
      <c r="B1383" s="252" t="s">
        <v>422</v>
      </c>
      <c r="C1383" s="249">
        <v>31</v>
      </c>
      <c r="D1383" s="249" t="s">
        <v>333</v>
      </c>
      <c r="E1383" s="255" t="s">
        <v>84</v>
      </c>
      <c r="L1383" s="264">
        <v>11596</v>
      </c>
      <c r="M1383" s="264">
        <v>11596</v>
      </c>
      <c r="N1383" s="264">
        <v>11596</v>
      </c>
    </row>
    <row r="1384" spans="1:14" hidden="1">
      <c r="E1384" s="255" t="s">
        <v>226</v>
      </c>
      <c r="L1384" s="264">
        <v>68253</v>
      </c>
      <c r="M1384" s="264">
        <v>68253</v>
      </c>
      <c r="N1384" s="264">
        <v>68253</v>
      </c>
    </row>
    <row r="1385" spans="1:14" hidden="1">
      <c r="E1385" s="255" t="s">
        <v>367</v>
      </c>
      <c r="L1385" s="264">
        <v>3315</v>
      </c>
      <c r="M1385" s="264">
        <v>3315</v>
      </c>
      <c r="N1385" s="264">
        <v>3315</v>
      </c>
    </row>
    <row r="1386" spans="1:14" hidden="1">
      <c r="C1386" s="249">
        <v>43</v>
      </c>
      <c r="D1386" s="249" t="s">
        <v>104</v>
      </c>
      <c r="E1386" s="255" t="s">
        <v>84</v>
      </c>
      <c r="L1386" s="264">
        <v>220983</v>
      </c>
      <c r="M1386" s="264">
        <v>220983</v>
      </c>
      <c r="N1386" s="264">
        <v>220983</v>
      </c>
    </row>
    <row r="1387" spans="1:14" hidden="1">
      <c r="E1387" s="255" t="s">
        <v>226</v>
      </c>
      <c r="L1387" s="264">
        <v>204289</v>
      </c>
      <c r="M1387" s="264">
        <v>204289</v>
      </c>
      <c r="N1387" s="264">
        <v>204289</v>
      </c>
    </row>
    <row r="1388" spans="1:14" hidden="1">
      <c r="E1388" s="255" t="s">
        <v>209</v>
      </c>
      <c r="L1388" s="264">
        <v>4513</v>
      </c>
      <c r="M1388" s="264">
        <v>4513</v>
      </c>
      <c r="N1388" s="264">
        <v>4513</v>
      </c>
    </row>
    <row r="1389" spans="1:14" hidden="1">
      <c r="E1389" s="255" t="s">
        <v>367</v>
      </c>
      <c r="L1389" s="264">
        <v>40480</v>
      </c>
      <c r="M1389" s="264">
        <v>30480</v>
      </c>
      <c r="N1389" s="264">
        <v>30480</v>
      </c>
    </row>
    <row r="1390" spans="1:14" hidden="1">
      <c r="C1390" s="249">
        <v>52</v>
      </c>
      <c r="D1390" s="249" t="s">
        <v>69</v>
      </c>
      <c r="E1390" s="255" t="s">
        <v>84</v>
      </c>
      <c r="L1390" s="264">
        <v>42870</v>
      </c>
      <c r="M1390" s="264">
        <v>41277</v>
      </c>
      <c r="N1390" s="264">
        <v>24554</v>
      </c>
    </row>
    <row r="1391" spans="1:14" hidden="1">
      <c r="E1391" s="255" t="s">
        <v>226</v>
      </c>
      <c r="L1391" s="264">
        <v>53860</v>
      </c>
      <c r="M1391" s="264">
        <v>37015</v>
      </c>
      <c r="N1391" s="264">
        <v>13935</v>
      </c>
    </row>
    <row r="1392" spans="1:14" hidden="1">
      <c r="E1392" s="255" t="s">
        <v>209</v>
      </c>
      <c r="L1392" s="264">
        <v>1327</v>
      </c>
      <c r="M1392" s="264">
        <v>1327</v>
      </c>
      <c r="N1392" s="264"/>
    </row>
    <row r="1393" spans="1:14" hidden="1">
      <c r="E1393" s="255" t="s">
        <v>367</v>
      </c>
      <c r="L1393" s="264">
        <v>1592</v>
      </c>
      <c r="M1393" s="264">
        <v>4115</v>
      </c>
      <c r="N1393" s="264"/>
    </row>
    <row r="1394" spans="1:14" ht="30" hidden="1">
      <c r="A1394" s="249" t="s">
        <v>388</v>
      </c>
      <c r="B1394" s="252" t="s">
        <v>389</v>
      </c>
      <c r="C1394" s="249">
        <v>12</v>
      </c>
      <c r="D1394" s="249" t="s">
        <v>102</v>
      </c>
      <c r="E1394" s="255" t="s">
        <v>84</v>
      </c>
      <c r="L1394" s="264">
        <v>381.30324257054372</v>
      </c>
      <c r="M1394" s="264">
        <v>0</v>
      </c>
      <c r="N1394" s="264">
        <v>0</v>
      </c>
    </row>
    <row r="1395" spans="1:14" hidden="1">
      <c r="E1395" s="255" t="s">
        <v>226</v>
      </c>
      <c r="L1395" s="264">
        <v>7444.7458269717345</v>
      </c>
      <c r="M1395" s="264">
        <v>0</v>
      </c>
      <c r="N1395" s="264">
        <v>0</v>
      </c>
    </row>
    <row r="1396" spans="1:14" hidden="1">
      <c r="E1396" s="255" t="s">
        <v>367</v>
      </c>
      <c r="L1396" s="264">
        <v>1274.5660835574818</v>
      </c>
      <c r="M1396" s="264">
        <v>0</v>
      </c>
      <c r="N1396" s="264">
        <v>0</v>
      </c>
    </row>
    <row r="1397" spans="1:14" hidden="1">
      <c r="C1397" s="249">
        <v>561</v>
      </c>
      <c r="D1397" s="249" t="s">
        <v>390</v>
      </c>
      <c r="E1397" s="255" t="s">
        <v>84</v>
      </c>
      <c r="L1397" s="264">
        <v>2164.9758999998121</v>
      </c>
      <c r="M1397" s="264">
        <v>0</v>
      </c>
      <c r="N1397" s="264">
        <v>0</v>
      </c>
    </row>
    <row r="1398" spans="1:14" hidden="1">
      <c r="E1398" s="255" t="s">
        <v>226</v>
      </c>
      <c r="L1398" s="264">
        <v>42185.035332262349</v>
      </c>
      <c r="M1398" s="264">
        <v>0</v>
      </c>
      <c r="N1398" s="264">
        <v>0</v>
      </c>
    </row>
    <row r="1399" spans="1:14" hidden="1">
      <c r="E1399" s="255" t="s">
        <v>367</v>
      </c>
      <c r="L1399" s="264">
        <v>7220.1413019698166</v>
      </c>
      <c r="M1399" s="264">
        <v>0</v>
      </c>
      <c r="N1399" s="264">
        <v>0</v>
      </c>
    </row>
    <row r="1400" spans="1:14" ht="30" hidden="1">
      <c r="A1400" s="249" t="s">
        <v>407</v>
      </c>
      <c r="B1400" s="252" t="s">
        <v>408</v>
      </c>
      <c r="C1400" s="249">
        <v>11</v>
      </c>
      <c r="D1400" s="249" t="s">
        <v>100</v>
      </c>
      <c r="E1400" s="255" t="s">
        <v>84</v>
      </c>
      <c r="L1400" s="264">
        <v>3415598.0454184916</v>
      </c>
      <c r="M1400" s="264">
        <v>3431876.293116637</v>
      </c>
      <c r="N1400" s="264">
        <v>3448230.8273353502</v>
      </c>
    </row>
    <row r="1401" spans="1:14" hidden="1">
      <c r="E1401" s="255" t="s">
        <v>226</v>
      </c>
      <c r="L1401" s="264">
        <v>68097.359645819335</v>
      </c>
      <c r="M1401" s="264">
        <v>68421.901841114013</v>
      </c>
      <c r="N1401" s="264">
        <v>68747.964973754992</v>
      </c>
    </row>
    <row r="1402" spans="1:14" hidden="1">
      <c r="A1402" s="249" t="s">
        <v>383</v>
      </c>
      <c r="B1402" s="252" t="s">
        <v>384</v>
      </c>
      <c r="C1402" s="249">
        <v>11</v>
      </c>
      <c r="D1402" s="249" t="s">
        <v>100</v>
      </c>
      <c r="E1402" s="255" t="s">
        <v>84</v>
      </c>
      <c r="L1402" s="264">
        <v>21458.540399999998</v>
      </c>
      <c r="M1402" s="264">
        <v>21458.540399999998</v>
      </c>
      <c r="N1402" s="264">
        <v>21458.540399999998</v>
      </c>
    </row>
    <row r="1403" spans="1:14" hidden="1">
      <c r="E1403" s="255" t="s">
        <v>226</v>
      </c>
      <c r="L1403" s="264">
        <v>126800.466</v>
      </c>
      <c r="M1403" s="264">
        <v>126800.466</v>
      </c>
      <c r="N1403" s="264">
        <v>126800.466</v>
      </c>
    </row>
    <row r="1404" spans="1:14" hidden="1">
      <c r="E1404" s="255" t="s">
        <v>192</v>
      </c>
      <c r="L1404" s="264">
        <v>1950.7764</v>
      </c>
      <c r="M1404" s="264">
        <v>1950.7764</v>
      </c>
      <c r="N1404" s="264">
        <v>1950.7764</v>
      </c>
    </row>
    <row r="1405" spans="1:14" ht="30" hidden="1">
      <c r="A1405" s="249" t="s">
        <v>365</v>
      </c>
      <c r="B1405" s="252" t="s">
        <v>366</v>
      </c>
      <c r="C1405" s="249">
        <v>11</v>
      </c>
      <c r="D1405" s="249" t="s">
        <v>100</v>
      </c>
      <c r="E1405" s="255" t="s">
        <v>226</v>
      </c>
      <c r="L1405" s="264">
        <v>382196.30575779511</v>
      </c>
      <c r="M1405" s="264">
        <v>382196.30575779511</v>
      </c>
      <c r="N1405" s="264">
        <v>382196.30575779511</v>
      </c>
    </row>
    <row r="1406" spans="1:14" hidden="1">
      <c r="E1406" s="255" t="s">
        <v>192</v>
      </c>
      <c r="L1406" s="264">
        <v>2333.9186256103076</v>
      </c>
      <c r="M1406" s="264">
        <v>2333.9186256103076</v>
      </c>
      <c r="N1406" s="264">
        <v>2333.9186256103076</v>
      </c>
    </row>
    <row r="1407" spans="1:14" hidden="1">
      <c r="E1407" s="255" t="s">
        <v>209</v>
      </c>
      <c r="L1407" s="264">
        <v>4383.0116672674649</v>
      </c>
      <c r="M1407" s="264">
        <v>4383.0116672674649</v>
      </c>
      <c r="N1407" s="264">
        <v>4383.0116672674649</v>
      </c>
    </row>
    <row r="1408" spans="1:14" hidden="1">
      <c r="E1408" s="255" t="s">
        <v>283</v>
      </c>
      <c r="L1408" s="264">
        <v>0</v>
      </c>
      <c r="M1408" s="264">
        <v>0</v>
      </c>
      <c r="N1408" s="264">
        <v>0</v>
      </c>
    </row>
    <row r="1409" spans="1:14" hidden="1">
      <c r="E1409" s="255" t="s">
        <v>367</v>
      </c>
      <c r="L1409" s="264">
        <v>1095.5465214661754</v>
      </c>
      <c r="M1409" s="264">
        <v>1095.5465214661754</v>
      </c>
      <c r="N1409" s="264">
        <v>1095.5465214661754</v>
      </c>
    </row>
    <row r="1410" spans="1:14" ht="30" hidden="1">
      <c r="A1410" s="249" t="s">
        <v>409</v>
      </c>
      <c r="B1410" s="252" t="s">
        <v>410</v>
      </c>
      <c r="C1410" s="249">
        <v>51</v>
      </c>
      <c r="D1410" s="249" t="s">
        <v>109</v>
      </c>
      <c r="E1410" s="255" t="s">
        <v>84</v>
      </c>
      <c r="L1410" s="264">
        <v>129158</v>
      </c>
      <c r="M1410" s="264">
        <v>104615</v>
      </c>
      <c r="N1410" s="264">
        <v>104615</v>
      </c>
    </row>
    <row r="1411" spans="1:14" hidden="1">
      <c r="E1411" s="255" t="s">
        <v>226</v>
      </c>
      <c r="L1411" s="264">
        <v>10270</v>
      </c>
      <c r="M1411" s="264">
        <v>2350</v>
      </c>
      <c r="N1411" s="264">
        <v>2350</v>
      </c>
    </row>
    <row r="1412" spans="1:14" hidden="1">
      <c r="E1412" s="255" t="s">
        <v>367</v>
      </c>
      <c r="L1412" s="264">
        <v>14000</v>
      </c>
      <c r="M1412" s="264">
        <v>5000</v>
      </c>
      <c r="N1412" s="264"/>
    </row>
    <row r="1413" spans="1:14" hidden="1">
      <c r="C1413" s="249">
        <v>52</v>
      </c>
      <c r="D1413" s="249" t="s">
        <v>69</v>
      </c>
      <c r="E1413" s="255" t="s">
        <v>84</v>
      </c>
      <c r="L1413" s="264">
        <v>42080</v>
      </c>
      <c r="M1413" s="264">
        <v>16015</v>
      </c>
      <c r="N1413" s="264"/>
    </row>
    <row r="1414" spans="1:14" hidden="1">
      <c r="E1414" s="255" t="s">
        <v>226</v>
      </c>
      <c r="L1414" s="264">
        <v>2655</v>
      </c>
      <c r="M1414" s="264"/>
      <c r="N1414" s="264"/>
    </row>
    <row r="1415" spans="1:14" hidden="1">
      <c r="C1415" s="249">
        <v>61</v>
      </c>
      <c r="D1415" s="249" t="s">
        <v>276</v>
      </c>
      <c r="E1415" s="255" t="s">
        <v>84</v>
      </c>
      <c r="L1415" s="264">
        <v>5371</v>
      </c>
      <c r="M1415" s="264"/>
      <c r="N1415" s="264"/>
    </row>
    <row r="1416" spans="1:14" hidden="1">
      <c r="E1416" s="255" t="s">
        <v>226</v>
      </c>
      <c r="L1416" s="264">
        <v>850</v>
      </c>
      <c r="M1416" s="264"/>
      <c r="N1416" s="264"/>
    </row>
    <row r="1417" spans="1:14" ht="30" hidden="1">
      <c r="A1417" s="249" t="s">
        <v>411</v>
      </c>
      <c r="B1417" s="252" t="s">
        <v>412</v>
      </c>
      <c r="C1417" s="249">
        <v>31</v>
      </c>
      <c r="D1417" s="249" t="s">
        <v>333</v>
      </c>
      <c r="E1417" s="255" t="s">
        <v>84</v>
      </c>
      <c r="L1417" s="264">
        <v>429163</v>
      </c>
      <c r="M1417" s="264">
        <v>411793</v>
      </c>
      <c r="N1417" s="264">
        <v>411793</v>
      </c>
    </row>
    <row r="1418" spans="1:14" hidden="1">
      <c r="E1418" s="255" t="s">
        <v>226</v>
      </c>
      <c r="L1418" s="264">
        <v>353839</v>
      </c>
      <c r="M1418" s="264">
        <v>367576</v>
      </c>
      <c r="N1418" s="264">
        <v>368373</v>
      </c>
    </row>
    <row r="1419" spans="1:14" hidden="1">
      <c r="E1419" s="255" t="s">
        <v>192</v>
      </c>
      <c r="L1419" s="264">
        <v>1726</v>
      </c>
      <c r="M1419" s="264">
        <v>1726</v>
      </c>
      <c r="N1419" s="264">
        <v>1726</v>
      </c>
    </row>
    <row r="1420" spans="1:14" hidden="1">
      <c r="E1420" s="255" t="s">
        <v>204</v>
      </c>
      <c r="L1420" s="264">
        <v>18581</v>
      </c>
      <c r="M1420" s="264">
        <v>18581</v>
      </c>
      <c r="N1420" s="264">
        <v>18581</v>
      </c>
    </row>
    <row r="1421" spans="1:14" hidden="1">
      <c r="E1421" s="255" t="s">
        <v>215</v>
      </c>
      <c r="L1421" s="264">
        <v>9954</v>
      </c>
      <c r="M1421" s="264">
        <v>12741</v>
      </c>
      <c r="N1421" s="264">
        <v>12741</v>
      </c>
    </row>
    <row r="1422" spans="1:14" hidden="1">
      <c r="E1422" s="255" t="s">
        <v>367</v>
      </c>
      <c r="L1422" s="264">
        <v>27872</v>
      </c>
      <c r="M1422" s="264">
        <v>41144</v>
      </c>
      <c r="N1422" s="264">
        <v>41144</v>
      </c>
    </row>
    <row r="1423" spans="1:14" hidden="1">
      <c r="C1423" s="249">
        <v>43</v>
      </c>
      <c r="D1423" s="249" t="s">
        <v>104</v>
      </c>
      <c r="E1423" s="255" t="s">
        <v>84</v>
      </c>
      <c r="L1423" s="264">
        <v>190722</v>
      </c>
      <c r="M1423" s="264">
        <v>198686</v>
      </c>
      <c r="N1423" s="264">
        <v>200013</v>
      </c>
    </row>
    <row r="1424" spans="1:14" hidden="1">
      <c r="E1424" s="255" t="s">
        <v>226</v>
      </c>
      <c r="L1424" s="264">
        <v>299408</v>
      </c>
      <c r="M1424" s="264">
        <v>336479</v>
      </c>
      <c r="N1424" s="264">
        <v>325285</v>
      </c>
    </row>
    <row r="1425" spans="1:14" hidden="1">
      <c r="E1425" s="255" t="s">
        <v>192</v>
      </c>
      <c r="L1425" s="264">
        <v>796</v>
      </c>
      <c r="M1425" s="264">
        <v>929</v>
      </c>
      <c r="N1425" s="264">
        <v>929</v>
      </c>
    </row>
    <row r="1426" spans="1:14" hidden="1">
      <c r="E1426" s="255" t="s">
        <v>204</v>
      </c>
      <c r="L1426" s="264">
        <v>23890</v>
      </c>
      <c r="M1426" s="264">
        <v>23890</v>
      </c>
      <c r="N1426" s="264">
        <v>23890</v>
      </c>
    </row>
    <row r="1427" spans="1:14" hidden="1">
      <c r="E1427" s="255" t="s">
        <v>283</v>
      </c>
      <c r="L1427" s="264">
        <v>3982</v>
      </c>
      <c r="M1427" s="264"/>
      <c r="N1427" s="264"/>
    </row>
    <row r="1428" spans="1:14" hidden="1">
      <c r="E1428" s="255" t="s">
        <v>367</v>
      </c>
      <c r="L1428" s="264">
        <v>232000</v>
      </c>
      <c r="M1428" s="264">
        <v>133917</v>
      </c>
      <c r="N1428" s="264">
        <v>135244</v>
      </c>
    </row>
    <row r="1429" spans="1:14" hidden="1">
      <c r="C1429" s="249">
        <v>51</v>
      </c>
      <c r="D1429" s="249" t="s">
        <v>109</v>
      </c>
      <c r="E1429" s="255" t="s">
        <v>226</v>
      </c>
      <c r="L1429" s="264">
        <v>199084</v>
      </c>
      <c r="M1429" s="264">
        <v>132723</v>
      </c>
      <c r="N1429" s="264">
        <v>132723</v>
      </c>
    </row>
    <row r="1430" spans="1:14" hidden="1">
      <c r="C1430" s="249">
        <v>52</v>
      </c>
      <c r="D1430" s="249" t="s">
        <v>69</v>
      </c>
      <c r="E1430" s="255" t="s">
        <v>84</v>
      </c>
      <c r="L1430" s="264">
        <v>35376</v>
      </c>
      <c r="M1430" s="264">
        <v>10352</v>
      </c>
      <c r="N1430" s="264"/>
    </row>
    <row r="1431" spans="1:14" hidden="1">
      <c r="E1431" s="255" t="s">
        <v>226</v>
      </c>
      <c r="L1431" s="264">
        <v>41171</v>
      </c>
      <c r="M1431" s="264">
        <v>32980</v>
      </c>
      <c r="N1431" s="264">
        <v>31255</v>
      </c>
    </row>
    <row r="1432" spans="1:14" hidden="1">
      <c r="E1432" s="255" t="s">
        <v>209</v>
      </c>
      <c r="L1432" s="264">
        <v>995</v>
      </c>
      <c r="M1432" s="264"/>
      <c r="N1432" s="264"/>
    </row>
    <row r="1433" spans="1:14" hidden="1">
      <c r="E1433" s="255" t="s">
        <v>367</v>
      </c>
      <c r="L1433" s="264"/>
      <c r="M1433" s="264">
        <v>2787</v>
      </c>
      <c r="N1433" s="264">
        <v>2787</v>
      </c>
    </row>
    <row r="1434" spans="1:14" hidden="1">
      <c r="C1434" s="249">
        <v>61</v>
      </c>
      <c r="D1434" s="249" t="s">
        <v>276</v>
      </c>
      <c r="E1434" s="255" t="s">
        <v>226</v>
      </c>
      <c r="L1434" s="264"/>
      <c r="M1434" s="264">
        <v>1991</v>
      </c>
      <c r="N1434" s="264">
        <v>1991</v>
      </c>
    </row>
    <row r="1435" spans="1:14" hidden="1">
      <c r="E1435" s="255" t="s">
        <v>367</v>
      </c>
      <c r="L1435" s="264">
        <v>1991</v>
      </c>
      <c r="M1435" s="264"/>
      <c r="N1435" s="264"/>
    </row>
    <row r="1436" spans="1:14" hidden="1">
      <c r="C1436" s="249">
        <v>71</v>
      </c>
      <c r="D1436" s="249" t="s">
        <v>387</v>
      </c>
      <c r="E1436" s="255" t="s">
        <v>367</v>
      </c>
      <c r="L1436" s="264">
        <v>796</v>
      </c>
      <c r="M1436" s="264">
        <v>796</v>
      </c>
      <c r="N1436" s="264">
        <v>796</v>
      </c>
    </row>
    <row r="1437" spans="1:14" ht="30" hidden="1">
      <c r="A1437" s="249" t="s">
        <v>388</v>
      </c>
      <c r="B1437" s="252" t="s">
        <v>389</v>
      </c>
      <c r="C1437" s="249">
        <v>12</v>
      </c>
      <c r="D1437" s="249" t="s">
        <v>102</v>
      </c>
      <c r="E1437" s="255" t="s">
        <v>84</v>
      </c>
      <c r="L1437" s="264">
        <v>18921.833956683928</v>
      </c>
      <c r="M1437" s="264"/>
      <c r="N1437" s="264"/>
    </row>
    <row r="1438" spans="1:14" hidden="1">
      <c r="C1438" s="249">
        <v>561</v>
      </c>
      <c r="D1438" s="249" t="s">
        <v>390</v>
      </c>
      <c r="E1438" s="255" t="s">
        <v>84</v>
      </c>
      <c r="L1438" s="264">
        <v>107223.72575454226</v>
      </c>
      <c r="M1438" s="264"/>
      <c r="N1438" s="264"/>
    </row>
    <row r="1439" spans="1:14" ht="30" hidden="1">
      <c r="A1439" s="249" t="s">
        <v>419</v>
      </c>
      <c r="B1439" s="252" t="s">
        <v>420</v>
      </c>
      <c r="C1439" s="249">
        <v>11</v>
      </c>
      <c r="D1439" s="249" t="s">
        <v>100</v>
      </c>
      <c r="E1439" s="255" t="s">
        <v>84</v>
      </c>
      <c r="L1439" s="264">
        <v>7655062.6719532451</v>
      </c>
      <c r="M1439" s="264">
        <v>7691439.2841354674</v>
      </c>
      <c r="N1439" s="264">
        <v>7727986.5387132522</v>
      </c>
    </row>
    <row r="1440" spans="1:14" hidden="1">
      <c r="E1440" s="255" t="s">
        <v>226</v>
      </c>
      <c r="L1440" s="264">
        <v>186923.43194981327</v>
      </c>
      <c r="M1440" s="264">
        <v>187811.68610045806</v>
      </c>
      <c r="N1440" s="264">
        <v>188704.10704418889</v>
      </c>
    </row>
    <row r="1441" spans="1:14" hidden="1">
      <c r="A1441" s="249" t="s">
        <v>383</v>
      </c>
      <c r="B1441" s="252" t="s">
        <v>384</v>
      </c>
      <c r="C1441" s="249">
        <v>11</v>
      </c>
      <c r="D1441" s="249" t="s">
        <v>100</v>
      </c>
      <c r="E1441" s="255" t="s">
        <v>84</v>
      </c>
      <c r="L1441" s="264">
        <v>37810.5984436</v>
      </c>
      <c r="M1441" s="264">
        <v>37810.5984436</v>
      </c>
      <c r="N1441" s="264">
        <v>37810.5984436</v>
      </c>
    </row>
    <row r="1442" spans="1:14" ht="30" hidden="1">
      <c r="A1442" s="249" t="s">
        <v>365</v>
      </c>
      <c r="B1442" s="252" t="s">
        <v>366</v>
      </c>
      <c r="C1442" s="249">
        <v>11</v>
      </c>
      <c r="D1442" s="249" t="s">
        <v>100</v>
      </c>
      <c r="E1442" s="255" t="s">
        <v>226</v>
      </c>
      <c r="L1442" s="264">
        <v>414019.32176038664</v>
      </c>
      <c r="M1442" s="264">
        <v>414019.32176038664</v>
      </c>
      <c r="N1442" s="264">
        <v>414019.32176038664</v>
      </c>
    </row>
    <row r="1443" spans="1:14" hidden="1">
      <c r="E1443" s="255" t="s">
        <v>192</v>
      </c>
      <c r="L1443" s="264">
        <v>6740.2367568011487</v>
      </c>
      <c r="M1443" s="264">
        <v>6740.2367568011487</v>
      </c>
      <c r="N1443" s="264">
        <v>6740.2367568011487</v>
      </c>
    </row>
    <row r="1444" spans="1:14" hidden="1">
      <c r="E1444" s="255" t="s">
        <v>209</v>
      </c>
      <c r="L1444" s="264">
        <v>2527.588783800431</v>
      </c>
      <c r="M1444" s="264">
        <v>2527.588783800431</v>
      </c>
      <c r="N1444" s="264">
        <v>2527.588783800431</v>
      </c>
    </row>
    <row r="1445" spans="1:14" hidden="1">
      <c r="E1445" s="255" t="s">
        <v>367</v>
      </c>
      <c r="L1445" s="264">
        <v>5265.5542219356657</v>
      </c>
      <c r="M1445" s="264">
        <v>5265.5542219356657</v>
      </c>
      <c r="N1445" s="264">
        <v>5265.5542219356657</v>
      </c>
    </row>
    <row r="1446" spans="1:14" ht="30" hidden="1">
      <c r="A1446" s="249" t="s">
        <v>423</v>
      </c>
      <c r="B1446" s="252" t="s">
        <v>424</v>
      </c>
      <c r="C1446" s="249">
        <v>51</v>
      </c>
      <c r="D1446" s="249" t="s">
        <v>109</v>
      </c>
      <c r="E1446" s="255" t="s">
        <v>226</v>
      </c>
      <c r="L1446" s="264">
        <v>13983</v>
      </c>
      <c r="M1446" s="264">
        <v>13983</v>
      </c>
      <c r="N1446" s="264"/>
    </row>
    <row r="1447" spans="1:14" hidden="1">
      <c r="C1447" s="249">
        <v>52</v>
      </c>
      <c r="D1447" s="249" t="s">
        <v>69</v>
      </c>
      <c r="E1447" s="255" t="s">
        <v>84</v>
      </c>
      <c r="L1447" s="264">
        <v>64044</v>
      </c>
      <c r="M1447" s="264">
        <v>0</v>
      </c>
      <c r="N1447" s="264">
        <v>0</v>
      </c>
    </row>
    <row r="1448" spans="1:14" hidden="1">
      <c r="E1448" s="255" t="s">
        <v>226</v>
      </c>
      <c r="L1448" s="264">
        <v>183980</v>
      </c>
      <c r="M1448" s="264">
        <v>0</v>
      </c>
      <c r="N1448" s="264">
        <v>0</v>
      </c>
    </row>
    <row r="1449" spans="1:14" hidden="1">
      <c r="E1449" s="255" t="s">
        <v>367</v>
      </c>
      <c r="L1449" s="264">
        <v>10785</v>
      </c>
      <c r="M1449" s="264"/>
      <c r="N1449" s="264"/>
    </row>
    <row r="1450" spans="1:14" hidden="1">
      <c r="C1450" s="249">
        <v>61</v>
      </c>
      <c r="D1450" s="249" t="s">
        <v>276</v>
      </c>
      <c r="E1450" s="255" t="s">
        <v>84</v>
      </c>
      <c r="L1450" s="264">
        <v>13033</v>
      </c>
      <c r="M1450" s="264">
        <v>0</v>
      </c>
      <c r="N1450" s="264">
        <v>0</v>
      </c>
    </row>
    <row r="1451" spans="1:14" hidden="1">
      <c r="E1451" s="255" t="s">
        <v>226</v>
      </c>
      <c r="L1451" s="264">
        <v>14865</v>
      </c>
      <c r="M1451" s="264">
        <v>0</v>
      </c>
      <c r="N1451" s="264">
        <v>0</v>
      </c>
    </row>
    <row r="1452" spans="1:14" hidden="1">
      <c r="E1452" s="255" t="s">
        <v>367</v>
      </c>
      <c r="L1452" s="264">
        <v>1752</v>
      </c>
      <c r="M1452" s="264">
        <v>0</v>
      </c>
      <c r="N1452" s="264">
        <v>0</v>
      </c>
    </row>
    <row r="1453" spans="1:14" ht="30" hidden="1">
      <c r="A1453" s="249" t="s">
        <v>421</v>
      </c>
      <c r="B1453" s="252" t="s">
        <v>422</v>
      </c>
      <c r="C1453" s="249">
        <v>31</v>
      </c>
      <c r="D1453" s="249" t="s">
        <v>333</v>
      </c>
      <c r="E1453" s="255" t="s">
        <v>84</v>
      </c>
      <c r="L1453" s="264">
        <v>87189.594531820272</v>
      </c>
      <c r="M1453" s="264">
        <v>81946.37998540049</v>
      </c>
      <c r="N1453" s="264">
        <v>81946.37998540049</v>
      </c>
    </row>
    <row r="1454" spans="1:14" hidden="1">
      <c r="E1454" s="255" t="s">
        <v>226</v>
      </c>
      <c r="L1454" s="264">
        <v>387807.15946645424</v>
      </c>
      <c r="M1454" s="264">
        <v>337205.57196894288</v>
      </c>
      <c r="N1454" s="264">
        <v>336729.89342358493</v>
      </c>
    </row>
    <row r="1455" spans="1:14" hidden="1">
      <c r="E1455" s="255" t="s">
        <v>192</v>
      </c>
      <c r="L1455" s="264">
        <v>2429.8912336585045</v>
      </c>
      <c r="M1455" s="264">
        <v>1843.8912336585042</v>
      </c>
      <c r="N1455" s="264">
        <v>1371.6140420731303</v>
      </c>
    </row>
    <row r="1456" spans="1:14" hidden="1">
      <c r="E1456" s="255" t="s">
        <v>283</v>
      </c>
      <c r="L1456" s="264">
        <v>63089</v>
      </c>
      <c r="M1456" s="264">
        <v>48309.244143606076</v>
      </c>
      <c r="N1456" s="264">
        <v>47723.140221647089</v>
      </c>
    </row>
    <row r="1457" spans="1:14" hidden="1">
      <c r="E1457" s="255" t="s">
        <v>367</v>
      </c>
      <c r="L1457" s="264">
        <v>70008</v>
      </c>
      <c r="M1457" s="264">
        <v>58982</v>
      </c>
      <c r="N1457" s="264">
        <v>58982</v>
      </c>
    </row>
    <row r="1458" spans="1:14" hidden="1">
      <c r="C1458" s="249">
        <v>43</v>
      </c>
      <c r="D1458" s="249" t="s">
        <v>104</v>
      </c>
      <c r="E1458" s="255" t="s">
        <v>84</v>
      </c>
      <c r="L1458" s="264">
        <v>71099.608467715167</v>
      </c>
      <c r="M1458" s="264">
        <v>70694.803902050568</v>
      </c>
      <c r="N1458" s="264">
        <v>70694.803902050568</v>
      </c>
    </row>
    <row r="1459" spans="1:14" hidden="1">
      <c r="E1459" s="255" t="s">
        <v>226</v>
      </c>
      <c r="L1459" s="264">
        <v>243467.22834959184</v>
      </c>
      <c r="M1459" s="264">
        <v>269825.09702037292</v>
      </c>
      <c r="N1459" s="264">
        <v>279679.05740261462</v>
      </c>
    </row>
    <row r="1460" spans="1:14" hidden="1">
      <c r="E1460" s="255" t="s">
        <v>192</v>
      </c>
      <c r="L1460" s="264">
        <v>8494.2597385360659</v>
      </c>
      <c r="M1460" s="264">
        <v>9290.5965890238222</v>
      </c>
      <c r="N1460" s="264">
        <v>9290.5965890238222</v>
      </c>
    </row>
    <row r="1461" spans="1:14" hidden="1">
      <c r="E1461" s="255" t="s">
        <v>209</v>
      </c>
      <c r="L1461" s="264">
        <v>5972.5263786581718</v>
      </c>
      <c r="M1461" s="264">
        <v>5972.5263786581718</v>
      </c>
      <c r="N1461" s="264">
        <v>5972.5263786581718</v>
      </c>
    </row>
    <row r="1462" spans="1:14" hidden="1">
      <c r="E1462" s="255" t="s">
        <v>283</v>
      </c>
      <c r="L1462" s="264">
        <v>48000</v>
      </c>
      <c r="M1462" s="264">
        <v>20000</v>
      </c>
      <c r="N1462" s="264">
        <v>20000</v>
      </c>
    </row>
    <row r="1463" spans="1:14" hidden="1">
      <c r="E1463" s="255" t="s">
        <v>367</v>
      </c>
      <c r="L1463" s="264">
        <v>10516.689893158138</v>
      </c>
      <c r="M1463" s="264">
        <v>15217.140420731303</v>
      </c>
      <c r="N1463" s="264">
        <v>10363.140420731303</v>
      </c>
    </row>
    <row r="1464" spans="1:14" hidden="1">
      <c r="C1464" s="249">
        <v>52</v>
      </c>
      <c r="D1464" s="249" t="s">
        <v>69</v>
      </c>
      <c r="E1464" s="255" t="s">
        <v>84</v>
      </c>
      <c r="L1464" s="264">
        <v>92277</v>
      </c>
      <c r="M1464" s="264">
        <v>61856</v>
      </c>
      <c r="N1464" s="264">
        <v>24516</v>
      </c>
    </row>
    <row r="1465" spans="1:14" hidden="1">
      <c r="E1465" s="255" t="s">
        <v>226</v>
      </c>
      <c r="L1465" s="264">
        <v>46486</v>
      </c>
      <c r="M1465" s="264">
        <v>29951</v>
      </c>
      <c r="N1465" s="264">
        <v>17271</v>
      </c>
    </row>
    <row r="1466" spans="1:14" hidden="1">
      <c r="E1466" s="255" t="s">
        <v>192</v>
      </c>
      <c r="L1466" s="264">
        <v>0</v>
      </c>
      <c r="M1466" s="264">
        <v>0</v>
      </c>
      <c r="N1466" s="264">
        <v>0</v>
      </c>
    </row>
    <row r="1467" spans="1:14" hidden="1">
      <c r="E1467" s="255" t="s">
        <v>209</v>
      </c>
      <c r="L1467" s="264">
        <v>622470</v>
      </c>
      <c r="M1467" s="264">
        <v>622470</v>
      </c>
      <c r="N1467" s="264">
        <v>622470</v>
      </c>
    </row>
    <row r="1468" spans="1:14" hidden="1">
      <c r="E1468" s="255" t="s">
        <v>367</v>
      </c>
      <c r="L1468" s="264">
        <v>0</v>
      </c>
      <c r="M1468" s="264">
        <v>0</v>
      </c>
      <c r="N1468" s="264">
        <v>0</v>
      </c>
    </row>
    <row r="1469" spans="1:14" hidden="1">
      <c r="C1469" s="249">
        <v>81</v>
      </c>
      <c r="D1469" s="249" t="s">
        <v>425</v>
      </c>
      <c r="E1469" s="255" t="s">
        <v>396</v>
      </c>
      <c r="L1469" s="264">
        <v>0</v>
      </c>
      <c r="M1469" s="264"/>
      <c r="N1469" s="264"/>
    </row>
    <row r="1470" spans="1:14" ht="30" hidden="1">
      <c r="A1470" s="249" t="s">
        <v>372</v>
      </c>
      <c r="B1470" s="252" t="s">
        <v>373</v>
      </c>
      <c r="C1470" s="249">
        <v>12</v>
      </c>
      <c r="D1470" s="249" t="s">
        <v>102</v>
      </c>
      <c r="E1470" s="255" t="s">
        <v>226</v>
      </c>
      <c r="L1470" s="264">
        <v>74782</v>
      </c>
      <c r="M1470" s="264">
        <v>0</v>
      </c>
      <c r="N1470" s="264">
        <v>0</v>
      </c>
    </row>
    <row r="1471" spans="1:14" hidden="1">
      <c r="C1471" s="249">
        <v>563</v>
      </c>
      <c r="D1471" s="249" t="s">
        <v>374</v>
      </c>
      <c r="E1471" s="255" t="s">
        <v>84</v>
      </c>
      <c r="L1471" s="264">
        <v>36948</v>
      </c>
      <c r="M1471" s="264">
        <v>0</v>
      </c>
      <c r="N1471" s="264">
        <v>0</v>
      </c>
    </row>
    <row r="1472" spans="1:14" hidden="1">
      <c r="E1472" s="255" t="s">
        <v>226</v>
      </c>
      <c r="L1472" s="264">
        <v>620249</v>
      </c>
      <c r="M1472" s="264">
        <v>0</v>
      </c>
      <c r="N1472" s="264">
        <v>0</v>
      </c>
    </row>
    <row r="1473" spans="1:14" hidden="1">
      <c r="E1473" s="255" t="s">
        <v>367</v>
      </c>
      <c r="L1473" s="264">
        <v>195446</v>
      </c>
      <c r="M1473" s="264">
        <v>0</v>
      </c>
      <c r="N1473" s="264">
        <v>0</v>
      </c>
    </row>
    <row r="1474" spans="1:14" ht="30" hidden="1">
      <c r="A1474" s="249" t="s">
        <v>419</v>
      </c>
      <c r="B1474" s="252" t="s">
        <v>420</v>
      </c>
      <c r="C1474" s="249">
        <v>11</v>
      </c>
      <c r="D1474" s="249" t="s">
        <v>100</v>
      </c>
      <c r="E1474" s="255" t="s">
        <v>84</v>
      </c>
      <c r="L1474" s="264">
        <v>3060540.9170893449</v>
      </c>
      <c r="M1474" s="264">
        <v>3075084.5093210172</v>
      </c>
      <c r="N1474" s="264">
        <v>3089696.3254270321</v>
      </c>
    </row>
    <row r="1475" spans="1:14" hidden="1">
      <c r="E1475" s="255" t="s">
        <v>226</v>
      </c>
      <c r="L1475" s="264">
        <v>78821.76657447459</v>
      </c>
      <c r="M1475" s="264">
        <v>79196.325080011389</v>
      </c>
      <c r="N1475" s="264">
        <v>79572.640636489145</v>
      </c>
    </row>
    <row r="1476" spans="1:14" hidden="1">
      <c r="A1476" s="249" t="s">
        <v>383</v>
      </c>
      <c r="B1476" s="252" t="s">
        <v>384</v>
      </c>
      <c r="C1476" s="249">
        <v>11</v>
      </c>
      <c r="D1476" s="249" t="s">
        <v>100</v>
      </c>
      <c r="E1476" s="255" t="s">
        <v>84</v>
      </c>
      <c r="L1476" s="264">
        <v>233.4429092</v>
      </c>
      <c r="M1476" s="264">
        <v>233.4429092</v>
      </c>
      <c r="N1476" s="264">
        <v>233.4429092</v>
      </c>
    </row>
    <row r="1477" spans="1:14" ht="30" hidden="1">
      <c r="A1477" s="249" t="s">
        <v>365</v>
      </c>
      <c r="B1477" s="252" t="s">
        <v>366</v>
      </c>
      <c r="C1477" s="249">
        <v>11</v>
      </c>
      <c r="D1477" s="249" t="s">
        <v>100</v>
      </c>
      <c r="E1477" s="255" t="s">
        <v>226</v>
      </c>
      <c r="L1477" s="264">
        <v>208335.46698718119</v>
      </c>
      <c r="M1477" s="264">
        <v>208335.46698718119</v>
      </c>
      <c r="N1477" s="264">
        <v>208335.46698718119</v>
      </c>
    </row>
    <row r="1478" spans="1:14" hidden="1">
      <c r="E1478" s="255" t="s">
        <v>192</v>
      </c>
      <c r="L1478" s="264">
        <v>548.18605143446905</v>
      </c>
      <c r="M1478" s="264">
        <v>548.18605143446905</v>
      </c>
      <c r="N1478" s="264">
        <v>548.18605143446905</v>
      </c>
    </row>
    <row r="1479" spans="1:14" hidden="1">
      <c r="E1479" s="255" t="s">
        <v>367</v>
      </c>
      <c r="L1479" s="264">
        <v>65743.523846206444</v>
      </c>
      <c r="M1479" s="264">
        <v>65743.523846206444</v>
      </c>
      <c r="N1479" s="264">
        <v>65743.523846206444</v>
      </c>
    </row>
    <row r="1480" spans="1:14" ht="30" hidden="1">
      <c r="A1480" s="249" t="s">
        <v>421</v>
      </c>
      <c r="B1480" s="252" t="s">
        <v>422</v>
      </c>
      <c r="C1480" s="249">
        <v>31</v>
      </c>
      <c r="D1480" s="249" t="s">
        <v>333</v>
      </c>
      <c r="E1480" s="255" t="s">
        <v>84</v>
      </c>
      <c r="L1480" s="264">
        <v>19908</v>
      </c>
      <c r="M1480" s="264">
        <v>19908</v>
      </c>
      <c r="N1480" s="264">
        <v>19908</v>
      </c>
    </row>
    <row r="1481" spans="1:14" hidden="1">
      <c r="E1481" s="255" t="s">
        <v>226</v>
      </c>
      <c r="L1481" s="264">
        <v>196032</v>
      </c>
      <c r="M1481" s="264">
        <v>196032</v>
      </c>
      <c r="N1481" s="264">
        <v>196032</v>
      </c>
    </row>
    <row r="1482" spans="1:14" hidden="1">
      <c r="E1482" s="255" t="s">
        <v>192</v>
      </c>
      <c r="L1482" s="264">
        <v>3185</v>
      </c>
      <c r="M1482" s="264">
        <v>3185</v>
      </c>
      <c r="N1482" s="264">
        <v>3185</v>
      </c>
    </row>
    <row r="1483" spans="1:14" hidden="1">
      <c r="E1483" s="255" t="s">
        <v>367</v>
      </c>
      <c r="L1483" s="264">
        <v>3318</v>
      </c>
      <c r="M1483" s="264">
        <v>3318</v>
      </c>
      <c r="N1483" s="264">
        <v>3318</v>
      </c>
    </row>
    <row r="1484" spans="1:14" hidden="1">
      <c r="C1484" s="249">
        <v>43</v>
      </c>
      <c r="D1484" s="249" t="s">
        <v>104</v>
      </c>
      <c r="E1484" s="255" t="s">
        <v>84</v>
      </c>
      <c r="L1484" s="264">
        <v>6636</v>
      </c>
      <c r="M1484" s="264">
        <v>6636</v>
      </c>
      <c r="N1484" s="264">
        <v>6636</v>
      </c>
    </row>
    <row r="1485" spans="1:14" hidden="1">
      <c r="E1485" s="255" t="s">
        <v>226</v>
      </c>
      <c r="L1485" s="264">
        <v>472229</v>
      </c>
      <c r="M1485" s="264">
        <v>472229</v>
      </c>
      <c r="N1485" s="264">
        <v>472229</v>
      </c>
    </row>
    <row r="1486" spans="1:14" hidden="1">
      <c r="E1486" s="255" t="s">
        <v>192</v>
      </c>
      <c r="L1486" s="264">
        <v>4645</v>
      </c>
      <c r="M1486" s="264">
        <v>4645</v>
      </c>
      <c r="N1486" s="264">
        <v>4645</v>
      </c>
    </row>
    <row r="1487" spans="1:14" hidden="1">
      <c r="E1487" s="255" t="s">
        <v>209</v>
      </c>
      <c r="L1487" s="264">
        <v>1327</v>
      </c>
      <c r="M1487" s="264">
        <v>1327</v>
      </c>
      <c r="N1487" s="264">
        <v>1327</v>
      </c>
    </row>
    <row r="1488" spans="1:14" hidden="1">
      <c r="E1488" s="255" t="s">
        <v>367</v>
      </c>
      <c r="L1488" s="264">
        <v>69352</v>
      </c>
      <c r="M1488" s="264">
        <v>69353</v>
      </c>
      <c r="N1488" s="264">
        <v>69350</v>
      </c>
    </row>
    <row r="1489" spans="1:14" hidden="1">
      <c r="C1489" s="249">
        <v>52</v>
      </c>
      <c r="D1489" s="249" t="s">
        <v>69</v>
      </c>
      <c r="E1489" s="255" t="s">
        <v>84</v>
      </c>
      <c r="L1489" s="264">
        <v>72898</v>
      </c>
      <c r="M1489" s="264">
        <v>55403</v>
      </c>
      <c r="N1489" s="264">
        <v>21869</v>
      </c>
    </row>
    <row r="1490" spans="1:14" hidden="1">
      <c r="E1490" s="255" t="s">
        <v>226</v>
      </c>
      <c r="L1490" s="264">
        <v>178959</v>
      </c>
      <c r="M1490" s="264">
        <v>178774.39999999999</v>
      </c>
      <c r="N1490" s="264">
        <v>176904.8</v>
      </c>
    </row>
    <row r="1491" spans="1:14" hidden="1">
      <c r="E1491" s="255" t="s">
        <v>209</v>
      </c>
      <c r="L1491" s="264">
        <v>358352</v>
      </c>
      <c r="M1491" s="264">
        <v>361935.52</v>
      </c>
      <c r="N1491" s="264">
        <v>365519.04</v>
      </c>
    </row>
    <row r="1492" spans="1:14" hidden="1">
      <c r="E1492" s="255" t="s">
        <v>367</v>
      </c>
      <c r="L1492" s="264">
        <v>7300</v>
      </c>
      <c r="M1492" s="264">
        <v>5548</v>
      </c>
      <c r="N1492" s="264">
        <v>2190</v>
      </c>
    </row>
    <row r="1493" spans="1:14" hidden="1">
      <c r="C1493" s="249">
        <v>61</v>
      </c>
      <c r="D1493" s="249" t="s">
        <v>276</v>
      </c>
      <c r="E1493" s="255" t="s">
        <v>226</v>
      </c>
      <c r="L1493" s="264">
        <v>1327</v>
      </c>
      <c r="M1493" s="264">
        <v>1340.27</v>
      </c>
      <c r="N1493" s="264">
        <v>1353.54</v>
      </c>
    </row>
    <row r="1494" spans="1:14" hidden="1">
      <c r="E1494" s="255" t="s">
        <v>367</v>
      </c>
      <c r="L1494" s="264">
        <v>2654</v>
      </c>
      <c r="M1494" s="264">
        <v>2680.54</v>
      </c>
      <c r="N1494" s="264">
        <v>2707.08</v>
      </c>
    </row>
    <row r="1495" spans="1:14" hidden="1">
      <c r="C1495" s="249">
        <v>71</v>
      </c>
      <c r="D1495" s="249" t="s">
        <v>387</v>
      </c>
      <c r="E1495" s="255" t="s">
        <v>367</v>
      </c>
      <c r="L1495" s="264">
        <v>292</v>
      </c>
      <c r="M1495" s="264">
        <v>294.92</v>
      </c>
      <c r="N1495" s="264">
        <v>297.83999999999997</v>
      </c>
    </row>
    <row r="1496" spans="1:14" ht="30" hidden="1">
      <c r="A1496" s="249" t="s">
        <v>401</v>
      </c>
      <c r="B1496" s="252" t="s">
        <v>402</v>
      </c>
      <c r="C1496" s="249">
        <v>11</v>
      </c>
      <c r="D1496" s="249" t="s">
        <v>100</v>
      </c>
      <c r="E1496" s="255" t="s">
        <v>84</v>
      </c>
      <c r="L1496" s="264">
        <v>1282804.2527199336</v>
      </c>
      <c r="M1496" s="264">
        <v>1288782.5715460456</v>
      </c>
      <c r="N1496" s="264">
        <v>1294788.8713264959</v>
      </c>
    </row>
    <row r="1497" spans="1:14" hidden="1">
      <c r="E1497" s="255" t="s">
        <v>226</v>
      </c>
      <c r="L1497" s="264">
        <v>18879.067875123732</v>
      </c>
      <c r="M1497" s="264">
        <v>18967.050968926229</v>
      </c>
      <c r="N1497" s="264">
        <v>19055.445859255778</v>
      </c>
    </row>
    <row r="1498" spans="1:14" ht="30" hidden="1">
      <c r="A1498" s="249" t="s">
        <v>365</v>
      </c>
      <c r="B1498" s="252" t="s">
        <v>366</v>
      </c>
      <c r="C1498" s="249">
        <v>11</v>
      </c>
      <c r="D1498" s="249" t="s">
        <v>100</v>
      </c>
      <c r="E1498" s="255" t="s">
        <v>226</v>
      </c>
      <c r="L1498" s="264">
        <v>126896.14465326541</v>
      </c>
      <c r="M1498" s="264">
        <v>126896.14465326541</v>
      </c>
      <c r="N1498" s="264">
        <v>126896.14465326541</v>
      </c>
    </row>
    <row r="1499" spans="1:14" hidden="1">
      <c r="E1499" s="255" t="s">
        <v>209</v>
      </c>
      <c r="L1499" s="264">
        <v>8787.0866882154078</v>
      </c>
      <c r="M1499" s="264">
        <v>8787.0866882154078</v>
      </c>
      <c r="N1499" s="264">
        <v>8787.0866882154078</v>
      </c>
    </row>
    <row r="1500" spans="1:14" hidden="1">
      <c r="E1500" s="255" t="s">
        <v>215</v>
      </c>
      <c r="L1500" s="264">
        <v>7086.3053685182422</v>
      </c>
      <c r="M1500" s="264">
        <v>7086.3053685182422</v>
      </c>
      <c r="N1500" s="264">
        <v>7086.3053685182422</v>
      </c>
    </row>
    <row r="1501" spans="1:14" hidden="1">
      <c r="E1501" s="255" t="s">
        <v>367</v>
      </c>
      <c r="L1501" s="264">
        <v>52833.070915072763</v>
      </c>
      <c r="M1501" s="264">
        <v>52833.070915072763</v>
      </c>
      <c r="N1501" s="264">
        <v>52833.070915072763</v>
      </c>
    </row>
    <row r="1502" spans="1:14" ht="45" hidden="1">
      <c r="A1502" s="249" t="s">
        <v>405</v>
      </c>
      <c r="B1502" s="252" t="s">
        <v>406</v>
      </c>
      <c r="C1502" s="249">
        <v>31</v>
      </c>
      <c r="D1502" s="249" t="s">
        <v>333</v>
      </c>
      <c r="E1502" s="255" t="s">
        <v>226</v>
      </c>
      <c r="L1502" s="264">
        <v>10000</v>
      </c>
      <c r="M1502" s="264">
        <v>10000</v>
      </c>
      <c r="N1502" s="264">
        <v>15000</v>
      </c>
    </row>
    <row r="1503" spans="1:14" hidden="1">
      <c r="E1503" s="255" t="s">
        <v>367</v>
      </c>
      <c r="L1503" s="264">
        <v>10000</v>
      </c>
      <c r="M1503" s="264">
        <v>15000</v>
      </c>
      <c r="N1503" s="264">
        <v>15000</v>
      </c>
    </row>
    <row r="1504" spans="1:14" hidden="1">
      <c r="C1504" s="249">
        <v>43</v>
      </c>
      <c r="D1504" s="249" t="s">
        <v>104</v>
      </c>
      <c r="E1504" s="255" t="s">
        <v>84</v>
      </c>
      <c r="L1504" s="264">
        <v>38640</v>
      </c>
      <c r="M1504" s="264">
        <v>38640</v>
      </c>
      <c r="N1504" s="264">
        <v>38640</v>
      </c>
    </row>
    <row r="1505" spans="1:14" hidden="1">
      <c r="E1505" s="255" t="s">
        <v>226</v>
      </c>
      <c r="L1505" s="264">
        <v>204567</v>
      </c>
      <c r="M1505" s="264">
        <v>204567</v>
      </c>
      <c r="N1505" s="264">
        <v>204567</v>
      </c>
    </row>
    <row r="1506" spans="1:14" hidden="1">
      <c r="E1506" s="255" t="s">
        <v>192</v>
      </c>
      <c r="L1506" s="264">
        <v>1333</v>
      </c>
      <c r="M1506" s="264">
        <v>1333</v>
      </c>
      <c r="N1506" s="264">
        <v>1333</v>
      </c>
    </row>
    <row r="1507" spans="1:14" hidden="1">
      <c r="E1507" s="255" t="s">
        <v>215</v>
      </c>
      <c r="L1507" s="264">
        <v>2667</v>
      </c>
      <c r="M1507" s="264">
        <v>2667</v>
      </c>
      <c r="N1507" s="264">
        <v>2667</v>
      </c>
    </row>
    <row r="1508" spans="1:14" hidden="1">
      <c r="E1508" s="255" t="s">
        <v>367</v>
      </c>
      <c r="L1508" s="264">
        <v>19493</v>
      </c>
      <c r="M1508" s="264">
        <v>19493</v>
      </c>
      <c r="N1508" s="264">
        <v>19493</v>
      </c>
    </row>
    <row r="1509" spans="1:14" hidden="1">
      <c r="C1509" s="249">
        <v>52</v>
      </c>
      <c r="D1509" s="249" t="s">
        <v>69</v>
      </c>
      <c r="E1509" s="255" t="s">
        <v>226</v>
      </c>
      <c r="L1509" s="264">
        <v>66565</v>
      </c>
      <c r="M1509" s="264">
        <v>11419</v>
      </c>
      <c r="N1509" s="264">
        <v>0</v>
      </c>
    </row>
    <row r="1510" spans="1:14" ht="30" hidden="1">
      <c r="A1510" s="249" t="s">
        <v>372</v>
      </c>
      <c r="B1510" s="252" t="s">
        <v>373</v>
      </c>
      <c r="C1510" s="249">
        <v>563</v>
      </c>
      <c r="D1510" s="249" t="s">
        <v>374</v>
      </c>
      <c r="E1510" s="255" t="s">
        <v>367</v>
      </c>
      <c r="L1510" s="264">
        <v>1600000</v>
      </c>
      <c r="M1510" s="264">
        <v>0</v>
      </c>
      <c r="N1510" s="264">
        <v>0</v>
      </c>
    </row>
    <row r="1511" spans="1:14" ht="30" hidden="1">
      <c r="A1511" s="249" t="s">
        <v>401</v>
      </c>
      <c r="B1511" s="252" t="s">
        <v>402</v>
      </c>
      <c r="C1511" s="249">
        <v>11</v>
      </c>
      <c r="D1511" s="249" t="s">
        <v>100</v>
      </c>
      <c r="E1511" s="255" t="s">
        <v>84</v>
      </c>
      <c r="L1511" s="264">
        <v>2043274.7226501286</v>
      </c>
      <c r="M1511" s="264">
        <v>2052797.1012323932</v>
      </c>
      <c r="N1511" s="264">
        <v>2062364.0484045995</v>
      </c>
    </row>
    <row r="1512" spans="1:14" hidden="1">
      <c r="E1512" s="255" t="s">
        <v>226</v>
      </c>
      <c r="L1512" s="264">
        <v>42148.565554060355</v>
      </c>
      <c r="M1512" s="264">
        <v>42345.237086681576</v>
      </c>
      <c r="N1512" s="264">
        <v>42542.829255964258</v>
      </c>
    </row>
    <row r="1513" spans="1:14" ht="30" hidden="1">
      <c r="A1513" s="249" t="s">
        <v>365</v>
      </c>
      <c r="B1513" s="252" t="s">
        <v>366</v>
      </c>
      <c r="C1513" s="249">
        <v>11</v>
      </c>
      <c r="D1513" s="249" t="s">
        <v>100</v>
      </c>
      <c r="E1513" s="255" t="s">
        <v>226</v>
      </c>
      <c r="L1513" s="264">
        <v>781855.97743267054</v>
      </c>
      <c r="M1513" s="264">
        <v>781855.97743267054</v>
      </c>
      <c r="N1513" s="264">
        <v>781855.97743267054</v>
      </c>
    </row>
    <row r="1514" spans="1:14" hidden="1">
      <c r="E1514" s="255" t="s">
        <v>192</v>
      </c>
      <c r="L1514" s="264">
        <v>1634.7192551513504</v>
      </c>
      <c r="M1514" s="264">
        <v>1634.7192551513504</v>
      </c>
      <c r="N1514" s="264">
        <v>1634.7192551513504</v>
      </c>
    </row>
    <row r="1515" spans="1:14" hidden="1">
      <c r="E1515" s="255" t="s">
        <v>209</v>
      </c>
      <c r="L1515" s="264">
        <v>10625.675158483778</v>
      </c>
      <c r="M1515" s="264">
        <v>10625.675158483778</v>
      </c>
      <c r="N1515" s="264">
        <v>10625.675158483778</v>
      </c>
    </row>
    <row r="1516" spans="1:14" hidden="1">
      <c r="E1516" s="255" t="s">
        <v>367</v>
      </c>
      <c r="L1516" s="264">
        <v>33511.744730602681</v>
      </c>
      <c r="M1516" s="264">
        <v>33511.744730602681</v>
      </c>
      <c r="N1516" s="264">
        <v>33511.744730602681</v>
      </c>
    </row>
    <row r="1517" spans="1:14" ht="30" hidden="1">
      <c r="A1517" s="249" t="s">
        <v>403</v>
      </c>
      <c r="B1517" s="252" t="s">
        <v>404</v>
      </c>
      <c r="C1517" s="249">
        <v>51</v>
      </c>
      <c r="D1517" s="249" t="s">
        <v>109</v>
      </c>
      <c r="E1517" s="255" t="s">
        <v>226</v>
      </c>
      <c r="L1517" s="264">
        <v>29978</v>
      </c>
      <c r="M1517" s="264">
        <v>10810</v>
      </c>
      <c r="N1517" s="264">
        <v>0</v>
      </c>
    </row>
    <row r="1518" spans="1:14" hidden="1">
      <c r="E1518" s="255" t="s">
        <v>209</v>
      </c>
      <c r="L1518" s="264">
        <v>1000</v>
      </c>
      <c r="M1518" s="264">
        <v>1000</v>
      </c>
      <c r="N1518" s="264">
        <v>0</v>
      </c>
    </row>
    <row r="1519" spans="1:14" hidden="1">
      <c r="C1519" s="249">
        <v>52</v>
      </c>
      <c r="D1519" s="249" t="s">
        <v>69</v>
      </c>
      <c r="E1519" s="255" t="s">
        <v>226</v>
      </c>
      <c r="L1519" s="264">
        <v>2225</v>
      </c>
      <c r="M1519" s="264">
        <v>3308</v>
      </c>
      <c r="N1519" s="264">
        <v>0</v>
      </c>
    </row>
    <row r="1520" spans="1:14" hidden="1">
      <c r="E1520" s="255" t="s">
        <v>209</v>
      </c>
      <c r="L1520" s="264">
        <v>11000</v>
      </c>
      <c r="M1520" s="264">
        <v>11000</v>
      </c>
      <c r="N1520" s="264">
        <v>11000</v>
      </c>
    </row>
    <row r="1521" spans="1:14" ht="45" hidden="1">
      <c r="A1521" s="249" t="s">
        <v>405</v>
      </c>
      <c r="B1521" s="252" t="s">
        <v>406</v>
      </c>
      <c r="C1521" s="249">
        <v>31</v>
      </c>
      <c r="D1521" s="249" t="s">
        <v>333</v>
      </c>
      <c r="E1521" s="255" t="s">
        <v>84</v>
      </c>
      <c r="L1521" s="264">
        <v>2700</v>
      </c>
      <c r="M1521" s="264">
        <v>2700</v>
      </c>
      <c r="N1521" s="264">
        <v>2700</v>
      </c>
    </row>
    <row r="1522" spans="1:14" hidden="1">
      <c r="E1522" s="255" t="s">
        <v>226</v>
      </c>
      <c r="L1522" s="264">
        <v>16300</v>
      </c>
      <c r="M1522" s="264">
        <v>16300</v>
      </c>
      <c r="N1522" s="264">
        <v>16300</v>
      </c>
    </row>
    <row r="1523" spans="1:14" hidden="1">
      <c r="E1523" s="255" t="s">
        <v>192</v>
      </c>
      <c r="L1523" s="264">
        <v>18459</v>
      </c>
      <c r="M1523" s="264">
        <v>11559</v>
      </c>
      <c r="N1523" s="264">
        <v>4317</v>
      </c>
    </row>
    <row r="1524" spans="1:14" hidden="1">
      <c r="E1524" s="255" t="s">
        <v>396</v>
      </c>
      <c r="L1524" s="264">
        <v>139778</v>
      </c>
      <c r="M1524" s="264">
        <v>146678</v>
      </c>
      <c r="N1524" s="264">
        <v>153920</v>
      </c>
    </row>
    <row r="1525" spans="1:14" hidden="1">
      <c r="C1525" s="249">
        <v>43</v>
      </c>
      <c r="D1525" s="249" t="s">
        <v>104</v>
      </c>
      <c r="E1525" s="255" t="s">
        <v>84</v>
      </c>
      <c r="L1525" s="264">
        <v>1600000</v>
      </c>
      <c r="M1525" s="264">
        <v>1716600</v>
      </c>
      <c r="N1525" s="264">
        <v>1716600</v>
      </c>
    </row>
    <row r="1526" spans="1:14" hidden="1">
      <c r="E1526" s="255" t="s">
        <v>226</v>
      </c>
      <c r="L1526" s="264">
        <v>1215200</v>
      </c>
      <c r="M1526" s="264">
        <v>1179200</v>
      </c>
      <c r="N1526" s="264">
        <v>1179200</v>
      </c>
    </row>
    <row r="1527" spans="1:14" hidden="1">
      <c r="E1527" s="255" t="s">
        <v>192</v>
      </c>
      <c r="L1527" s="264">
        <v>7300</v>
      </c>
      <c r="M1527" s="264">
        <v>7300</v>
      </c>
      <c r="N1527" s="264">
        <v>7300</v>
      </c>
    </row>
    <row r="1528" spans="1:14" hidden="1">
      <c r="E1528" s="255" t="s">
        <v>209</v>
      </c>
      <c r="L1528" s="264">
        <v>6000</v>
      </c>
      <c r="M1528" s="264">
        <v>6000</v>
      </c>
      <c r="N1528" s="264">
        <v>6000</v>
      </c>
    </row>
    <row r="1529" spans="1:14" hidden="1">
      <c r="E1529" s="255" t="s">
        <v>367</v>
      </c>
      <c r="L1529" s="264">
        <v>113000</v>
      </c>
      <c r="M1529" s="264">
        <v>77000</v>
      </c>
      <c r="N1529" s="264">
        <v>77000</v>
      </c>
    </row>
    <row r="1530" spans="1:14" hidden="1">
      <c r="E1530" s="255" t="s">
        <v>322</v>
      </c>
      <c r="L1530" s="264">
        <v>100000</v>
      </c>
      <c r="M1530" s="264">
        <v>0</v>
      </c>
      <c r="N1530" s="264">
        <v>0</v>
      </c>
    </row>
    <row r="1531" spans="1:14" ht="30" hidden="1">
      <c r="A1531" s="249" t="s">
        <v>419</v>
      </c>
      <c r="B1531" s="252" t="s">
        <v>420</v>
      </c>
      <c r="C1531" s="249">
        <v>11</v>
      </c>
      <c r="D1531" s="249" t="s">
        <v>100</v>
      </c>
      <c r="E1531" s="255" t="s">
        <v>84</v>
      </c>
      <c r="L1531" s="264">
        <v>3412371.4061608333</v>
      </c>
      <c r="M1531" s="264">
        <v>3428586.8855870711</v>
      </c>
      <c r="N1531" s="264">
        <v>3444878.4316970515</v>
      </c>
    </row>
    <row r="1532" spans="1:14" hidden="1">
      <c r="E1532" s="255" t="s">
        <v>226</v>
      </c>
      <c r="L1532" s="264">
        <v>37649.975253810277</v>
      </c>
      <c r="M1532" s="264">
        <v>37828.886728107667</v>
      </c>
      <c r="N1532" s="264">
        <v>38008.637474693947</v>
      </c>
    </row>
    <row r="1533" spans="1:14" ht="30" hidden="1">
      <c r="A1533" s="249" t="s">
        <v>365</v>
      </c>
      <c r="B1533" s="252" t="s">
        <v>366</v>
      </c>
      <c r="C1533" s="249">
        <v>11</v>
      </c>
      <c r="D1533" s="249" t="s">
        <v>100</v>
      </c>
      <c r="E1533" s="255" t="s">
        <v>84</v>
      </c>
      <c r="L1533" s="264">
        <v>31913.674705197045</v>
      </c>
      <c r="M1533" s="264">
        <v>31913.674705197045</v>
      </c>
      <c r="N1533" s="264">
        <v>31913.674705197045</v>
      </c>
    </row>
    <row r="1534" spans="1:14" hidden="1">
      <c r="E1534" s="255" t="s">
        <v>226</v>
      </c>
      <c r="L1534" s="264">
        <v>352059.28223134362</v>
      </c>
      <c r="M1534" s="264">
        <v>352059.28223134362</v>
      </c>
      <c r="N1534" s="264">
        <v>352059.28223134362</v>
      </c>
    </row>
    <row r="1535" spans="1:14" hidden="1">
      <c r="E1535" s="255" t="s">
        <v>192</v>
      </c>
      <c r="L1535" s="264">
        <v>307.11628182774473</v>
      </c>
      <c r="M1535" s="264">
        <v>307.11628182774473</v>
      </c>
      <c r="N1535" s="264">
        <v>307.11628182774473</v>
      </c>
    </row>
    <row r="1536" spans="1:14" hidden="1">
      <c r="E1536" s="255" t="s">
        <v>367</v>
      </c>
      <c r="L1536" s="264">
        <v>52109.872560982316</v>
      </c>
      <c r="M1536" s="264">
        <v>52109.872560982316</v>
      </c>
      <c r="N1536" s="264">
        <v>52109.872560982316</v>
      </c>
    </row>
    <row r="1537" spans="1:14" ht="30" hidden="1">
      <c r="A1537" s="249" t="s">
        <v>423</v>
      </c>
      <c r="B1537" s="252" t="s">
        <v>424</v>
      </c>
      <c r="C1537" s="249">
        <v>51</v>
      </c>
      <c r="D1537" s="249" t="s">
        <v>109</v>
      </c>
      <c r="E1537" s="255" t="s">
        <v>226</v>
      </c>
      <c r="L1537" s="264">
        <v>112925</v>
      </c>
      <c r="M1537" s="264">
        <v>107620</v>
      </c>
      <c r="N1537" s="264">
        <v>0</v>
      </c>
    </row>
    <row r="1538" spans="1:14" hidden="1">
      <c r="E1538" s="255" t="s">
        <v>367</v>
      </c>
      <c r="L1538" s="264">
        <v>8333</v>
      </c>
      <c r="M1538" s="264">
        <v>7666</v>
      </c>
      <c r="N1538" s="264">
        <v>0</v>
      </c>
    </row>
    <row r="1539" spans="1:14" hidden="1">
      <c r="C1539" s="249">
        <v>52</v>
      </c>
      <c r="D1539" s="249" t="s">
        <v>69</v>
      </c>
      <c r="E1539" s="255" t="s">
        <v>84</v>
      </c>
      <c r="L1539" s="264">
        <v>59019</v>
      </c>
      <c r="M1539" s="264">
        <v>0</v>
      </c>
      <c r="N1539" s="264">
        <v>0</v>
      </c>
    </row>
    <row r="1540" spans="1:14" hidden="1">
      <c r="E1540" s="255" t="s">
        <v>226</v>
      </c>
      <c r="L1540" s="264">
        <v>111759</v>
      </c>
      <c r="M1540" s="264">
        <v>9285</v>
      </c>
      <c r="N1540" s="264">
        <v>0</v>
      </c>
    </row>
    <row r="1541" spans="1:14" hidden="1">
      <c r="E1541" s="255" t="s">
        <v>204</v>
      </c>
      <c r="L1541" s="264">
        <v>15549</v>
      </c>
      <c r="M1541" s="264">
        <v>0</v>
      </c>
      <c r="N1541" s="264">
        <v>0</v>
      </c>
    </row>
    <row r="1542" spans="1:14" hidden="1">
      <c r="E1542" s="255" t="s">
        <v>367</v>
      </c>
      <c r="L1542" s="264">
        <v>663</v>
      </c>
      <c r="M1542" s="264">
        <v>0</v>
      </c>
      <c r="N1542" s="264">
        <v>0</v>
      </c>
    </row>
    <row r="1543" spans="1:14" ht="30" hidden="1">
      <c r="A1543" s="249" t="s">
        <v>421</v>
      </c>
      <c r="B1543" s="252" t="s">
        <v>422</v>
      </c>
      <c r="C1543" s="249">
        <v>31</v>
      </c>
      <c r="D1543" s="249" t="s">
        <v>333</v>
      </c>
      <c r="E1543" s="255" t="s">
        <v>84</v>
      </c>
      <c r="L1543" s="264">
        <v>46453</v>
      </c>
      <c r="M1543" s="264">
        <v>45000</v>
      </c>
      <c r="N1543" s="264">
        <v>43000</v>
      </c>
    </row>
    <row r="1544" spans="1:14" hidden="1">
      <c r="E1544" s="255" t="s">
        <v>226</v>
      </c>
      <c r="L1544" s="264">
        <v>145996</v>
      </c>
      <c r="M1544" s="264">
        <v>141510</v>
      </c>
      <c r="N1544" s="264">
        <v>144540</v>
      </c>
    </row>
    <row r="1545" spans="1:14" hidden="1">
      <c r="E1545" s="255" t="s">
        <v>192</v>
      </c>
      <c r="L1545" s="264">
        <v>358</v>
      </c>
      <c r="M1545" s="264">
        <v>150</v>
      </c>
      <c r="N1545" s="264">
        <v>150</v>
      </c>
    </row>
    <row r="1546" spans="1:14" hidden="1">
      <c r="E1546" s="255" t="s">
        <v>215</v>
      </c>
      <c r="L1546" s="264">
        <v>2654</v>
      </c>
      <c r="M1546" s="264">
        <v>2000</v>
      </c>
      <c r="N1546" s="264">
        <v>2000</v>
      </c>
    </row>
    <row r="1547" spans="1:14" hidden="1">
      <c r="E1547" s="255" t="s">
        <v>367</v>
      </c>
      <c r="L1547" s="264">
        <v>2000</v>
      </c>
      <c r="M1547" s="264">
        <v>2000</v>
      </c>
      <c r="N1547" s="264">
        <v>2000</v>
      </c>
    </row>
    <row r="1548" spans="1:14" hidden="1">
      <c r="C1548" s="249">
        <v>43</v>
      </c>
      <c r="D1548" s="249" t="s">
        <v>104</v>
      </c>
      <c r="E1548" s="255" t="s">
        <v>84</v>
      </c>
      <c r="L1548" s="264">
        <v>487976</v>
      </c>
      <c r="M1548" s="264">
        <v>439900</v>
      </c>
      <c r="N1548" s="264">
        <v>388250</v>
      </c>
    </row>
    <row r="1549" spans="1:14" hidden="1">
      <c r="E1549" s="255" t="s">
        <v>226</v>
      </c>
      <c r="L1549" s="264">
        <v>598505</v>
      </c>
      <c r="M1549" s="264">
        <v>568950</v>
      </c>
      <c r="N1549" s="264">
        <v>549950</v>
      </c>
    </row>
    <row r="1550" spans="1:14" hidden="1">
      <c r="E1550" s="255" t="s">
        <v>192</v>
      </c>
      <c r="L1550" s="264">
        <v>14069</v>
      </c>
      <c r="M1550" s="264">
        <v>14050</v>
      </c>
      <c r="N1550" s="264">
        <v>12150</v>
      </c>
    </row>
    <row r="1551" spans="1:14" hidden="1">
      <c r="E1551" s="255" t="s">
        <v>209</v>
      </c>
      <c r="L1551" s="264">
        <v>9291</v>
      </c>
      <c r="M1551" s="264">
        <v>10000</v>
      </c>
      <c r="N1551" s="264">
        <v>10000</v>
      </c>
    </row>
    <row r="1552" spans="1:14" hidden="1">
      <c r="E1552" s="255" t="s">
        <v>283</v>
      </c>
      <c r="L1552" s="264">
        <v>132723</v>
      </c>
      <c r="M1552" s="264">
        <v>0</v>
      </c>
      <c r="N1552" s="264">
        <v>0</v>
      </c>
    </row>
    <row r="1553" spans="1:14" hidden="1">
      <c r="E1553" s="255" t="s">
        <v>367</v>
      </c>
      <c r="L1553" s="264">
        <v>17654</v>
      </c>
      <c r="M1553" s="264">
        <v>15600</v>
      </c>
      <c r="N1553" s="264">
        <v>15600</v>
      </c>
    </row>
    <row r="1554" spans="1:14" hidden="1">
      <c r="C1554" s="249">
        <v>52</v>
      </c>
      <c r="D1554" s="249" t="s">
        <v>69</v>
      </c>
      <c r="E1554" s="255" t="s">
        <v>84</v>
      </c>
      <c r="L1554" s="264">
        <v>7548</v>
      </c>
      <c r="M1554" s="264">
        <v>0</v>
      </c>
      <c r="N1554" s="264">
        <v>0</v>
      </c>
    </row>
    <row r="1555" spans="1:14" hidden="1">
      <c r="E1555" s="255" t="s">
        <v>226</v>
      </c>
      <c r="L1555" s="264">
        <v>7185</v>
      </c>
      <c r="M1555" s="264">
        <v>3534</v>
      </c>
      <c r="N1555" s="264">
        <v>3534</v>
      </c>
    </row>
    <row r="1556" spans="1:14" hidden="1">
      <c r="C1556" s="249">
        <v>71</v>
      </c>
      <c r="D1556" s="249" t="s">
        <v>387</v>
      </c>
      <c r="E1556" s="255" t="s">
        <v>367</v>
      </c>
      <c r="L1556" s="264">
        <v>265</v>
      </c>
      <c r="M1556" s="264">
        <v>265</v>
      </c>
      <c r="N1556" s="264">
        <v>265</v>
      </c>
    </row>
    <row r="1557" spans="1:14" ht="30" hidden="1">
      <c r="A1557" s="249" t="s">
        <v>419</v>
      </c>
      <c r="B1557" s="252" t="s">
        <v>420</v>
      </c>
      <c r="C1557" s="249">
        <v>11</v>
      </c>
      <c r="D1557" s="249" t="s">
        <v>100</v>
      </c>
      <c r="E1557" s="255" t="s">
        <v>84</v>
      </c>
      <c r="L1557" s="264">
        <v>3170278.7669012481</v>
      </c>
      <c r="M1557" s="264">
        <v>3185343.8298739688</v>
      </c>
      <c r="N1557" s="264">
        <v>3200479.5629360895</v>
      </c>
    </row>
    <row r="1558" spans="1:14" hidden="1">
      <c r="E1558" s="255" t="s">
        <v>226</v>
      </c>
      <c r="L1558" s="264">
        <v>54864.196049198581</v>
      </c>
      <c r="M1558" s="264">
        <v>55124.908948347438</v>
      </c>
      <c r="N1558" s="264">
        <v>55386.844849612105</v>
      </c>
    </row>
    <row r="1559" spans="1:14" hidden="1">
      <c r="A1559" s="249" t="s">
        <v>383</v>
      </c>
      <c r="B1559" s="252" t="s">
        <v>384</v>
      </c>
      <c r="C1559" s="249">
        <v>11</v>
      </c>
      <c r="D1559" s="249" t="s">
        <v>100</v>
      </c>
      <c r="E1559" s="255" t="s">
        <v>84</v>
      </c>
      <c r="L1559" s="264">
        <v>7335.5695228000004</v>
      </c>
      <c r="M1559" s="264">
        <v>7335.5695228000004</v>
      </c>
      <c r="N1559" s="264">
        <v>7335.5695228000004</v>
      </c>
    </row>
    <row r="1560" spans="1:14" ht="30" hidden="1">
      <c r="A1560" s="249" t="s">
        <v>365</v>
      </c>
      <c r="B1560" s="252" t="s">
        <v>366</v>
      </c>
      <c r="C1560" s="249">
        <v>11</v>
      </c>
      <c r="D1560" s="249" t="s">
        <v>100</v>
      </c>
      <c r="E1560" s="255" t="s">
        <v>226</v>
      </c>
      <c r="L1560" s="264">
        <v>317913.23541307601</v>
      </c>
      <c r="M1560" s="264">
        <v>317913.23541307601</v>
      </c>
      <c r="N1560" s="264">
        <v>317913.23541307601</v>
      </c>
    </row>
    <row r="1561" spans="1:14" hidden="1">
      <c r="E1561" s="255" t="s">
        <v>192</v>
      </c>
      <c r="L1561" s="264">
        <v>438.38372486702269</v>
      </c>
      <c r="M1561" s="264">
        <v>438.38372486702269</v>
      </c>
      <c r="N1561" s="264">
        <v>438.38372486702269</v>
      </c>
    </row>
    <row r="1562" spans="1:14" hidden="1">
      <c r="E1562" s="255" t="s">
        <v>283</v>
      </c>
      <c r="L1562" s="264">
        <v>6629.4186641849201</v>
      </c>
      <c r="M1562" s="264">
        <v>6629.4186641849201</v>
      </c>
      <c r="N1562" s="264">
        <v>6629.4186641849201</v>
      </c>
    </row>
    <row r="1563" spans="1:14" hidden="1">
      <c r="E1563" s="255" t="s">
        <v>367</v>
      </c>
      <c r="L1563" s="264">
        <v>50501.639988400464</v>
      </c>
      <c r="M1563" s="264">
        <v>50501.639988400464</v>
      </c>
      <c r="N1563" s="264">
        <v>50501.639988400464</v>
      </c>
    </row>
    <row r="1564" spans="1:14" hidden="1">
      <c r="E1564" s="255" t="s">
        <v>322</v>
      </c>
      <c r="L1564" s="264">
        <v>21915.058336337323</v>
      </c>
      <c r="M1564" s="264">
        <v>21915.058336337323</v>
      </c>
      <c r="N1564" s="264">
        <v>21915.058336337323</v>
      </c>
    </row>
    <row r="1565" spans="1:14" ht="30" hidden="1">
      <c r="A1565" s="249" t="s">
        <v>423</v>
      </c>
      <c r="B1565" s="252" t="s">
        <v>424</v>
      </c>
      <c r="C1565" s="249">
        <v>52</v>
      </c>
      <c r="D1565" s="249" t="s">
        <v>69</v>
      </c>
      <c r="E1565" s="255" t="s">
        <v>84</v>
      </c>
      <c r="L1565" s="264">
        <v>29332</v>
      </c>
      <c r="M1565" s="264">
        <v>0</v>
      </c>
      <c r="N1565" s="264">
        <v>0</v>
      </c>
    </row>
    <row r="1566" spans="1:14" hidden="1">
      <c r="E1566" s="255" t="s">
        <v>226</v>
      </c>
      <c r="L1566" s="264">
        <v>103391</v>
      </c>
      <c r="M1566" s="264">
        <v>0</v>
      </c>
      <c r="N1566" s="264">
        <v>0</v>
      </c>
    </row>
    <row r="1567" spans="1:14" ht="30" hidden="1">
      <c r="A1567" s="249" t="s">
        <v>421</v>
      </c>
      <c r="B1567" s="252" t="s">
        <v>422</v>
      </c>
      <c r="C1567" s="249">
        <v>31</v>
      </c>
      <c r="D1567" s="249" t="s">
        <v>333</v>
      </c>
      <c r="E1567" s="255" t="s">
        <v>84</v>
      </c>
      <c r="L1567" s="264">
        <v>24222</v>
      </c>
      <c r="M1567" s="264">
        <v>25400</v>
      </c>
      <c r="N1567" s="264">
        <v>25400</v>
      </c>
    </row>
    <row r="1568" spans="1:14" hidden="1">
      <c r="E1568" s="255" t="s">
        <v>226</v>
      </c>
      <c r="L1568" s="264">
        <v>106444</v>
      </c>
      <c r="M1568" s="264">
        <v>111400</v>
      </c>
      <c r="N1568" s="264">
        <v>99944</v>
      </c>
    </row>
    <row r="1569" spans="3:14" hidden="1">
      <c r="E1569" s="255" t="s">
        <v>192</v>
      </c>
      <c r="L1569" s="264">
        <v>1128</v>
      </c>
      <c r="M1569" s="264">
        <v>1300</v>
      </c>
      <c r="N1569" s="264">
        <v>1300</v>
      </c>
    </row>
    <row r="1570" spans="3:14" hidden="1">
      <c r="E1570" s="255" t="s">
        <v>215</v>
      </c>
      <c r="L1570" s="264">
        <v>1991</v>
      </c>
      <c r="M1570" s="264">
        <v>2500</v>
      </c>
      <c r="N1570" s="264">
        <v>2500</v>
      </c>
    </row>
    <row r="1571" spans="3:14" hidden="1">
      <c r="E1571" s="255" t="s">
        <v>283</v>
      </c>
      <c r="L1571" s="264">
        <v>1327</v>
      </c>
      <c r="M1571" s="264">
        <v>1500</v>
      </c>
      <c r="N1571" s="264">
        <v>500</v>
      </c>
    </row>
    <row r="1572" spans="3:14" hidden="1">
      <c r="E1572" s="255" t="s">
        <v>367</v>
      </c>
      <c r="L1572" s="264">
        <v>18182</v>
      </c>
      <c r="M1572" s="264">
        <v>19200</v>
      </c>
      <c r="N1572" s="264">
        <v>15200</v>
      </c>
    </row>
    <row r="1573" spans="3:14" hidden="1">
      <c r="C1573" s="249">
        <v>43</v>
      </c>
      <c r="D1573" s="249" t="s">
        <v>104</v>
      </c>
      <c r="E1573" s="255" t="s">
        <v>84</v>
      </c>
      <c r="L1573" s="264">
        <v>127282</v>
      </c>
      <c r="M1573" s="264">
        <v>129800</v>
      </c>
      <c r="N1573" s="264">
        <v>129800</v>
      </c>
    </row>
    <row r="1574" spans="3:14" hidden="1">
      <c r="E1574" s="255" t="s">
        <v>226</v>
      </c>
      <c r="L1574" s="264">
        <v>594495</v>
      </c>
      <c r="M1574" s="264">
        <v>605800</v>
      </c>
      <c r="N1574" s="264">
        <v>605800</v>
      </c>
    </row>
    <row r="1575" spans="3:14" hidden="1">
      <c r="E1575" s="255" t="s">
        <v>192</v>
      </c>
      <c r="L1575" s="264">
        <v>2256</v>
      </c>
      <c r="M1575" s="264">
        <v>2300</v>
      </c>
      <c r="N1575" s="264">
        <v>2300</v>
      </c>
    </row>
    <row r="1576" spans="3:14" hidden="1">
      <c r="E1576" s="255" t="s">
        <v>209</v>
      </c>
      <c r="L1576" s="264">
        <v>4778</v>
      </c>
      <c r="M1576" s="264">
        <v>4800</v>
      </c>
      <c r="N1576" s="264">
        <v>4800</v>
      </c>
    </row>
    <row r="1577" spans="3:14" hidden="1">
      <c r="E1577" s="255" t="s">
        <v>215</v>
      </c>
      <c r="L1577" s="264">
        <v>1725</v>
      </c>
      <c r="M1577" s="264">
        <v>1800</v>
      </c>
      <c r="N1577" s="264">
        <v>1800</v>
      </c>
    </row>
    <row r="1578" spans="3:14" hidden="1">
      <c r="E1578" s="255" t="s">
        <v>283</v>
      </c>
      <c r="L1578" s="264">
        <v>1327</v>
      </c>
      <c r="M1578" s="264">
        <v>1500</v>
      </c>
      <c r="N1578" s="264">
        <v>1500</v>
      </c>
    </row>
    <row r="1579" spans="3:14" hidden="1">
      <c r="E1579" s="255" t="s">
        <v>367</v>
      </c>
      <c r="L1579" s="264">
        <v>243743</v>
      </c>
      <c r="M1579" s="264">
        <v>245765</v>
      </c>
      <c r="N1579" s="264">
        <v>244000</v>
      </c>
    </row>
    <row r="1580" spans="3:14" hidden="1">
      <c r="E1580" s="255" t="s">
        <v>322</v>
      </c>
      <c r="L1580" s="264">
        <v>199084</v>
      </c>
      <c r="M1580" s="264">
        <v>200000</v>
      </c>
      <c r="N1580" s="264">
        <v>200000</v>
      </c>
    </row>
    <row r="1581" spans="3:14" hidden="1">
      <c r="C1581" s="249">
        <v>52</v>
      </c>
      <c r="D1581" s="249" t="s">
        <v>69</v>
      </c>
      <c r="E1581" s="255" t="s">
        <v>84</v>
      </c>
      <c r="L1581" s="264">
        <v>19577</v>
      </c>
      <c r="M1581" s="264">
        <v>19650</v>
      </c>
      <c r="N1581" s="264">
        <v>1773</v>
      </c>
    </row>
    <row r="1582" spans="3:14" hidden="1">
      <c r="E1582" s="255" t="s">
        <v>226</v>
      </c>
      <c r="L1582" s="264">
        <v>41715</v>
      </c>
      <c r="M1582" s="264">
        <v>19203</v>
      </c>
      <c r="N1582" s="264">
        <v>11431</v>
      </c>
    </row>
    <row r="1583" spans="3:14" hidden="1">
      <c r="E1583" s="255" t="s">
        <v>192</v>
      </c>
      <c r="L1583" s="264">
        <v>133</v>
      </c>
      <c r="M1583" s="264">
        <v>100</v>
      </c>
      <c r="N1583" s="264">
        <v>100</v>
      </c>
    </row>
    <row r="1584" spans="3:14" hidden="1">
      <c r="E1584" s="255" t="s">
        <v>209</v>
      </c>
      <c r="L1584" s="264">
        <v>1991</v>
      </c>
      <c r="M1584" s="264">
        <v>1991</v>
      </c>
      <c r="N1584" s="264">
        <v>800</v>
      </c>
    </row>
    <row r="1585" spans="1:14" hidden="1">
      <c r="E1585" s="255" t="s">
        <v>367</v>
      </c>
      <c r="L1585" s="264">
        <v>22841</v>
      </c>
      <c r="M1585" s="264">
        <v>3300</v>
      </c>
      <c r="N1585" s="264">
        <v>3300</v>
      </c>
    </row>
    <row r="1586" spans="1:14" hidden="1">
      <c r="C1586" s="249">
        <v>61</v>
      </c>
      <c r="D1586" s="249" t="s">
        <v>276</v>
      </c>
      <c r="E1586" s="255" t="s">
        <v>226</v>
      </c>
      <c r="L1586" s="264">
        <v>6659</v>
      </c>
      <c r="M1586" s="264">
        <v>6800</v>
      </c>
      <c r="N1586" s="264">
        <v>6800</v>
      </c>
    </row>
    <row r="1587" spans="1:14" ht="30" hidden="1">
      <c r="A1587" s="249" t="s">
        <v>407</v>
      </c>
      <c r="B1587" s="252" t="s">
        <v>408</v>
      </c>
      <c r="C1587" s="249">
        <v>11</v>
      </c>
      <c r="D1587" s="249" t="s">
        <v>100</v>
      </c>
      <c r="E1587" s="255" t="s">
        <v>84</v>
      </c>
      <c r="L1587" s="264">
        <v>6658245.3487781845</v>
      </c>
      <c r="M1587" s="264">
        <v>6689977.5858802097</v>
      </c>
      <c r="N1587" s="264">
        <v>6721858.533212184</v>
      </c>
    </row>
    <row r="1588" spans="1:14" hidden="1">
      <c r="E1588" s="255" t="s">
        <v>226</v>
      </c>
      <c r="L1588" s="264">
        <v>98127.585902129358</v>
      </c>
      <c r="M1588" s="264">
        <v>98595.247824901104</v>
      </c>
      <c r="N1588" s="264">
        <v>99065.101402545813</v>
      </c>
    </row>
    <row r="1589" spans="1:14" ht="30" hidden="1">
      <c r="A1589" s="249" t="s">
        <v>381</v>
      </c>
      <c r="B1589" s="252" t="s">
        <v>382</v>
      </c>
      <c r="C1589" s="249">
        <v>11</v>
      </c>
      <c r="D1589" s="249" t="s">
        <v>100</v>
      </c>
      <c r="E1589" s="255" t="s">
        <v>226</v>
      </c>
      <c r="L1589" s="264">
        <v>24339</v>
      </c>
      <c r="M1589" s="264">
        <v>24339</v>
      </c>
      <c r="N1589" s="264">
        <v>24339</v>
      </c>
    </row>
    <row r="1590" spans="1:14" hidden="1">
      <c r="A1590" s="249" t="s">
        <v>383</v>
      </c>
      <c r="B1590" s="252" t="s">
        <v>384</v>
      </c>
      <c r="C1590" s="249">
        <v>11</v>
      </c>
      <c r="D1590" s="249" t="s">
        <v>100</v>
      </c>
      <c r="E1590" s="255" t="s">
        <v>84</v>
      </c>
      <c r="L1590" s="264">
        <v>52020.703999999998</v>
      </c>
      <c r="M1590" s="264">
        <v>52020.703999999998</v>
      </c>
      <c r="N1590" s="264">
        <v>52020.703999999998</v>
      </c>
    </row>
    <row r="1591" spans="1:14" ht="30" hidden="1">
      <c r="A1591" s="249" t="s">
        <v>365</v>
      </c>
      <c r="B1591" s="252" t="s">
        <v>366</v>
      </c>
      <c r="C1591" s="249">
        <v>11</v>
      </c>
      <c r="D1591" s="249" t="s">
        <v>100</v>
      </c>
      <c r="E1591" s="255" t="s">
        <v>226</v>
      </c>
      <c r="L1591" s="264">
        <v>428137.43407733412</v>
      </c>
      <c r="M1591" s="264">
        <v>428137.43407733412</v>
      </c>
      <c r="N1591" s="264">
        <v>428137.43407733412</v>
      </c>
    </row>
    <row r="1592" spans="1:14" hidden="1">
      <c r="E1592" s="255" t="s">
        <v>192</v>
      </c>
      <c r="L1592" s="264">
        <v>2476.744208288264</v>
      </c>
      <c r="M1592" s="264">
        <v>2476.744208288264</v>
      </c>
      <c r="N1592" s="264">
        <v>2476.744208288264</v>
      </c>
    </row>
    <row r="1593" spans="1:14" hidden="1">
      <c r="E1593" s="255" t="s">
        <v>283</v>
      </c>
      <c r="L1593" s="264">
        <v>1651.1628055255094</v>
      </c>
      <c r="M1593" s="264">
        <v>1651.1628055255094</v>
      </c>
      <c r="N1593" s="264">
        <v>1651.1628055255094</v>
      </c>
    </row>
    <row r="1594" spans="1:14" hidden="1">
      <c r="E1594" s="255" t="s">
        <v>367</v>
      </c>
      <c r="L1594" s="264">
        <v>13209.302444204073</v>
      </c>
      <c r="M1594" s="264">
        <v>13209.302444204073</v>
      </c>
      <c r="N1594" s="264">
        <v>13209.302444204073</v>
      </c>
    </row>
    <row r="1595" spans="1:14" ht="30" hidden="1">
      <c r="A1595" s="249" t="s">
        <v>409</v>
      </c>
      <c r="B1595" s="252" t="s">
        <v>410</v>
      </c>
      <c r="C1595" s="249">
        <v>51</v>
      </c>
      <c r="D1595" s="249" t="s">
        <v>109</v>
      </c>
      <c r="E1595" s="255" t="s">
        <v>84</v>
      </c>
      <c r="L1595" s="264">
        <v>235970</v>
      </c>
      <c r="M1595" s="264">
        <v>185409</v>
      </c>
      <c r="N1595" s="264">
        <v>152000</v>
      </c>
    </row>
    <row r="1596" spans="1:14" hidden="1">
      <c r="E1596" s="255" t="s">
        <v>226</v>
      </c>
      <c r="L1596" s="264">
        <v>252569</v>
      </c>
      <c r="M1596" s="264">
        <v>189000</v>
      </c>
      <c r="N1596" s="264">
        <v>153000</v>
      </c>
    </row>
    <row r="1597" spans="1:14" hidden="1">
      <c r="E1597" s="255" t="s">
        <v>367</v>
      </c>
      <c r="L1597" s="264">
        <v>30246</v>
      </c>
      <c r="M1597" s="264">
        <v>6591</v>
      </c>
      <c r="N1597" s="264">
        <v>0</v>
      </c>
    </row>
    <row r="1598" spans="1:14" ht="30" hidden="1">
      <c r="A1598" s="249" t="s">
        <v>411</v>
      </c>
      <c r="B1598" s="252" t="s">
        <v>412</v>
      </c>
      <c r="C1598" s="249">
        <v>31</v>
      </c>
      <c r="D1598" s="249" t="s">
        <v>333</v>
      </c>
      <c r="E1598" s="255" t="s">
        <v>84</v>
      </c>
      <c r="L1598" s="264">
        <v>85000</v>
      </c>
      <c r="M1598" s="264">
        <v>20000</v>
      </c>
      <c r="N1598" s="264">
        <v>15000</v>
      </c>
    </row>
    <row r="1599" spans="1:14" hidden="1">
      <c r="E1599" s="255" t="s">
        <v>226</v>
      </c>
      <c r="L1599" s="264">
        <v>21103</v>
      </c>
      <c r="M1599" s="264">
        <v>27518</v>
      </c>
      <c r="N1599" s="264">
        <v>26518</v>
      </c>
    </row>
    <row r="1600" spans="1:14" hidden="1">
      <c r="E1600" s="255" t="s">
        <v>204</v>
      </c>
      <c r="L1600" s="264">
        <v>3982</v>
      </c>
      <c r="M1600" s="264">
        <v>1500</v>
      </c>
      <c r="N1600" s="264">
        <v>1500</v>
      </c>
    </row>
    <row r="1601" spans="1:14" hidden="1">
      <c r="E1601" s="255" t="s">
        <v>367</v>
      </c>
      <c r="L1601" s="264">
        <v>3982</v>
      </c>
      <c r="M1601" s="264">
        <v>3982</v>
      </c>
      <c r="N1601" s="264">
        <v>3982</v>
      </c>
    </row>
    <row r="1602" spans="1:14" hidden="1">
      <c r="C1602" s="249">
        <v>43</v>
      </c>
      <c r="D1602" s="249" t="s">
        <v>104</v>
      </c>
      <c r="E1602" s="255" t="s">
        <v>84</v>
      </c>
      <c r="L1602" s="264">
        <v>81550</v>
      </c>
      <c r="M1602" s="264">
        <v>81550</v>
      </c>
      <c r="N1602" s="264">
        <v>116500</v>
      </c>
    </row>
    <row r="1603" spans="1:14" hidden="1">
      <c r="E1603" s="255" t="s">
        <v>226</v>
      </c>
      <c r="L1603" s="264">
        <v>172500</v>
      </c>
      <c r="M1603" s="264">
        <v>158000</v>
      </c>
      <c r="N1603" s="264">
        <v>197431</v>
      </c>
    </row>
    <row r="1604" spans="1:14" hidden="1">
      <c r="E1604" s="255" t="s">
        <v>204</v>
      </c>
      <c r="L1604" s="264">
        <v>9421</v>
      </c>
      <c r="M1604" s="264">
        <v>9421</v>
      </c>
      <c r="N1604" s="264">
        <v>9421</v>
      </c>
    </row>
    <row r="1605" spans="1:14" hidden="1">
      <c r="E1605" s="255" t="s">
        <v>215</v>
      </c>
      <c r="L1605" s="264">
        <v>3000</v>
      </c>
      <c r="M1605" s="264">
        <v>3000</v>
      </c>
      <c r="N1605" s="264">
        <v>3000</v>
      </c>
    </row>
    <row r="1606" spans="1:14" hidden="1">
      <c r="E1606" s="255" t="s">
        <v>367</v>
      </c>
      <c r="L1606" s="264">
        <v>25000</v>
      </c>
      <c r="M1606" s="264">
        <v>25000</v>
      </c>
      <c r="N1606" s="264">
        <v>25000</v>
      </c>
    </row>
    <row r="1607" spans="1:14" hidden="1">
      <c r="C1607" s="249">
        <v>52</v>
      </c>
      <c r="D1607" s="249" t="s">
        <v>69</v>
      </c>
      <c r="E1607" s="255" t="s">
        <v>84</v>
      </c>
      <c r="L1607" s="264">
        <v>84811</v>
      </c>
      <c r="M1607" s="264">
        <v>66501</v>
      </c>
      <c r="N1607" s="264">
        <v>31152</v>
      </c>
    </row>
    <row r="1608" spans="1:14" hidden="1">
      <c r="E1608" s="255" t="s">
        <v>226</v>
      </c>
      <c r="L1608" s="264">
        <v>59000</v>
      </c>
      <c r="M1608" s="264">
        <v>50256</v>
      </c>
      <c r="N1608" s="264">
        <v>58538</v>
      </c>
    </row>
    <row r="1609" spans="1:14" hidden="1">
      <c r="E1609" s="255" t="s">
        <v>367</v>
      </c>
      <c r="L1609" s="264">
        <v>15000</v>
      </c>
      <c r="M1609" s="264">
        <v>10000</v>
      </c>
      <c r="N1609" s="264">
        <v>5622</v>
      </c>
    </row>
    <row r="1610" spans="1:14" ht="30" hidden="1">
      <c r="A1610" s="249" t="s">
        <v>388</v>
      </c>
      <c r="B1610" s="252" t="s">
        <v>389</v>
      </c>
      <c r="C1610" s="249">
        <v>12</v>
      </c>
      <c r="D1610" s="249" t="s">
        <v>102</v>
      </c>
      <c r="E1610" s="255" t="s">
        <v>84</v>
      </c>
      <c r="L1610" s="264">
        <v>2273.2056776562499</v>
      </c>
      <c r="M1610" s="264">
        <v>0</v>
      </c>
      <c r="N1610" s="264">
        <v>0</v>
      </c>
    </row>
    <row r="1611" spans="1:14" hidden="1">
      <c r="E1611" s="255" t="s">
        <v>226</v>
      </c>
      <c r="L1611" s="264">
        <v>17822.951975483371</v>
      </c>
      <c r="M1611" s="264">
        <v>0</v>
      </c>
      <c r="N1611" s="264">
        <v>0</v>
      </c>
    </row>
    <row r="1612" spans="1:14" hidden="1">
      <c r="E1612" s="255" t="s">
        <v>367</v>
      </c>
      <c r="L1612" s="264">
        <v>4357.2226119801771</v>
      </c>
      <c r="M1612" s="264">
        <v>0</v>
      </c>
      <c r="N1612" s="264">
        <v>0</v>
      </c>
    </row>
    <row r="1613" spans="1:14" hidden="1">
      <c r="C1613" s="249">
        <v>561</v>
      </c>
      <c r="D1613" s="249" t="s">
        <v>390</v>
      </c>
      <c r="E1613" s="255" t="s">
        <v>84</v>
      </c>
      <c r="L1613" s="264">
        <v>11796.175663508278</v>
      </c>
      <c r="M1613" s="264">
        <v>0</v>
      </c>
      <c r="N1613" s="264">
        <v>0</v>
      </c>
    </row>
    <row r="1614" spans="1:14" hidden="1">
      <c r="E1614" s="255" t="s">
        <v>226</v>
      </c>
      <c r="L1614" s="264">
        <v>104160.94929298897</v>
      </c>
      <c r="M1614" s="264">
        <v>0</v>
      </c>
      <c r="N1614" s="264">
        <v>0</v>
      </c>
    </row>
    <row r="1615" spans="1:14" hidden="1">
      <c r="E1615" s="255" t="s">
        <v>367</v>
      </c>
      <c r="L1615" s="264">
        <v>22612.029879181624</v>
      </c>
      <c r="M1615" s="264">
        <v>0</v>
      </c>
      <c r="N1615" s="264">
        <v>0</v>
      </c>
    </row>
    <row r="1616" spans="1:14" ht="30" hidden="1">
      <c r="A1616" s="249" t="s">
        <v>419</v>
      </c>
      <c r="B1616" s="252" t="s">
        <v>420</v>
      </c>
      <c r="C1616" s="249">
        <v>11</v>
      </c>
      <c r="D1616" s="249" t="s">
        <v>100</v>
      </c>
      <c r="E1616" s="255" t="s">
        <v>84</v>
      </c>
      <c r="L1616" s="264">
        <v>2985820.2515339763</v>
      </c>
      <c r="M1616" s="264">
        <v>3000008.7735605589</v>
      </c>
      <c r="N1616" s="264">
        <v>3014263.8538300032</v>
      </c>
    </row>
    <row r="1617" spans="1:14" hidden="1">
      <c r="E1617" s="255" t="s">
        <v>226</v>
      </c>
      <c r="L1617" s="264">
        <v>32308.731551209879</v>
      </c>
      <c r="M1617" s="264">
        <v>32462.261606821827</v>
      </c>
      <c r="N1617" s="264">
        <v>32616.511870691462</v>
      </c>
    </row>
    <row r="1618" spans="1:14" ht="30" hidden="1">
      <c r="A1618" s="249" t="s">
        <v>365</v>
      </c>
      <c r="B1618" s="252" t="s">
        <v>366</v>
      </c>
      <c r="C1618" s="249">
        <v>11</v>
      </c>
      <c r="D1618" s="249" t="s">
        <v>100</v>
      </c>
      <c r="E1618" s="255" t="s">
        <v>84</v>
      </c>
      <c r="L1618" s="264">
        <v>7672.1279758742785</v>
      </c>
      <c r="M1618" s="264">
        <v>7672.1279758742785</v>
      </c>
      <c r="N1618" s="264">
        <v>7672.1279758742785</v>
      </c>
    </row>
    <row r="1619" spans="1:14" hidden="1">
      <c r="E1619" s="255" t="s">
        <v>226</v>
      </c>
      <c r="L1619" s="264">
        <v>163455.21077019229</v>
      </c>
      <c r="M1619" s="264">
        <v>163455.21077019229</v>
      </c>
      <c r="N1619" s="264">
        <v>163455.21077019229</v>
      </c>
    </row>
    <row r="1620" spans="1:14" hidden="1">
      <c r="E1620" s="255" t="s">
        <v>283</v>
      </c>
      <c r="L1620" s="264">
        <v>26297.24442220202</v>
      </c>
      <c r="M1620" s="264">
        <v>26297.24442220202</v>
      </c>
      <c r="N1620" s="264">
        <v>26297.24442220202</v>
      </c>
    </row>
    <row r="1621" spans="1:14" hidden="1">
      <c r="E1621" s="255" t="s">
        <v>367</v>
      </c>
      <c r="L1621" s="264">
        <v>24433.907196166489</v>
      </c>
      <c r="M1621" s="264">
        <v>24433.907196166489</v>
      </c>
      <c r="N1621" s="264">
        <v>24433.907196166489</v>
      </c>
    </row>
    <row r="1622" spans="1:14" ht="30" hidden="1">
      <c r="A1622" s="249" t="s">
        <v>423</v>
      </c>
      <c r="B1622" s="252" t="s">
        <v>424</v>
      </c>
      <c r="C1622" s="249">
        <v>51</v>
      </c>
      <c r="D1622" s="249" t="s">
        <v>109</v>
      </c>
      <c r="E1622" s="255" t="s">
        <v>226</v>
      </c>
      <c r="L1622" s="264">
        <v>6804</v>
      </c>
      <c r="M1622" s="264"/>
      <c r="N1622" s="264"/>
    </row>
    <row r="1623" spans="1:14" hidden="1">
      <c r="C1623" s="249">
        <v>52</v>
      </c>
      <c r="D1623" s="249" t="s">
        <v>69</v>
      </c>
      <c r="E1623" s="255" t="s">
        <v>84</v>
      </c>
      <c r="L1623" s="264">
        <v>23094</v>
      </c>
      <c r="M1623" s="264">
        <v>4513</v>
      </c>
      <c r="N1623" s="264"/>
    </row>
    <row r="1624" spans="1:14" hidden="1">
      <c r="E1624" s="255" t="s">
        <v>226</v>
      </c>
      <c r="L1624" s="264">
        <v>21369</v>
      </c>
      <c r="M1624" s="264">
        <v>16487</v>
      </c>
      <c r="N1624" s="264"/>
    </row>
    <row r="1625" spans="1:14" hidden="1">
      <c r="E1625" s="255" t="s">
        <v>204</v>
      </c>
      <c r="L1625" s="264">
        <v>5664</v>
      </c>
      <c r="M1625" s="264"/>
      <c r="N1625" s="264"/>
    </row>
    <row r="1626" spans="1:14" hidden="1">
      <c r="E1626" s="255" t="s">
        <v>215</v>
      </c>
      <c r="L1626" s="264">
        <v>38312</v>
      </c>
      <c r="M1626" s="264"/>
      <c r="N1626" s="264"/>
    </row>
    <row r="1627" spans="1:14" hidden="1">
      <c r="B1627" s="252" t="s">
        <v>395</v>
      </c>
      <c r="C1627" s="249">
        <v>43</v>
      </c>
      <c r="D1627" s="249" t="s">
        <v>104</v>
      </c>
      <c r="E1627" s="255" t="s">
        <v>84</v>
      </c>
      <c r="L1627" s="264"/>
      <c r="M1627" s="264"/>
      <c r="N1627" s="264">
        <v>2000</v>
      </c>
    </row>
    <row r="1628" spans="1:14" hidden="1">
      <c r="E1628" s="255" t="s">
        <v>226</v>
      </c>
      <c r="L1628" s="264">
        <v>8326</v>
      </c>
      <c r="M1628" s="264">
        <v>31958</v>
      </c>
      <c r="N1628" s="264"/>
    </row>
    <row r="1629" spans="1:14" ht="30" hidden="1">
      <c r="A1629" s="249" t="s">
        <v>421</v>
      </c>
      <c r="B1629" s="252" t="s">
        <v>422</v>
      </c>
      <c r="C1629" s="249">
        <v>31</v>
      </c>
      <c r="D1629" s="249" t="s">
        <v>333</v>
      </c>
      <c r="E1629" s="255" t="s">
        <v>84</v>
      </c>
      <c r="L1629" s="264">
        <v>28934</v>
      </c>
      <c r="M1629" s="264">
        <v>25164</v>
      </c>
      <c r="N1629" s="264">
        <v>27368</v>
      </c>
    </row>
    <row r="1630" spans="1:14" hidden="1">
      <c r="E1630" s="255" t="s">
        <v>226</v>
      </c>
      <c r="L1630" s="264">
        <v>37164</v>
      </c>
      <c r="M1630" s="264">
        <v>33249</v>
      </c>
      <c r="N1630" s="264">
        <v>35703</v>
      </c>
    </row>
    <row r="1631" spans="1:14" hidden="1">
      <c r="E1631" s="255" t="s">
        <v>367</v>
      </c>
      <c r="L1631" s="264">
        <v>531</v>
      </c>
      <c r="M1631" s="264">
        <v>10485</v>
      </c>
      <c r="N1631" s="264">
        <v>3716</v>
      </c>
    </row>
    <row r="1632" spans="1:14" hidden="1">
      <c r="C1632" s="249">
        <v>43</v>
      </c>
      <c r="D1632" s="249" t="s">
        <v>104</v>
      </c>
      <c r="E1632" s="255" t="s">
        <v>84</v>
      </c>
      <c r="L1632" s="264">
        <v>1080833</v>
      </c>
      <c r="M1632" s="264">
        <v>1100609</v>
      </c>
      <c r="N1632" s="264">
        <v>1102600</v>
      </c>
    </row>
    <row r="1633" spans="1:14" hidden="1">
      <c r="E1633" s="255" t="s">
        <v>226</v>
      </c>
      <c r="L1633" s="264">
        <v>368054</v>
      </c>
      <c r="M1633" s="264">
        <v>346113</v>
      </c>
      <c r="N1633" s="264">
        <v>352165</v>
      </c>
    </row>
    <row r="1634" spans="1:14" hidden="1">
      <c r="E1634" s="255" t="s">
        <v>192</v>
      </c>
      <c r="L1634" s="264">
        <v>15793</v>
      </c>
      <c r="M1634" s="264">
        <v>15926</v>
      </c>
      <c r="N1634" s="264">
        <v>15926</v>
      </c>
    </row>
    <row r="1635" spans="1:14" hidden="1">
      <c r="E1635" s="255" t="s">
        <v>209</v>
      </c>
      <c r="L1635" s="264">
        <v>3318</v>
      </c>
      <c r="M1635" s="264">
        <v>2920</v>
      </c>
      <c r="N1635" s="264">
        <v>2920</v>
      </c>
    </row>
    <row r="1636" spans="1:14" hidden="1">
      <c r="E1636" s="255" t="s">
        <v>215</v>
      </c>
      <c r="L1636" s="264">
        <v>4380</v>
      </c>
      <c r="M1636" s="264">
        <v>4380</v>
      </c>
      <c r="N1636" s="264">
        <v>4380</v>
      </c>
    </row>
    <row r="1637" spans="1:14" hidden="1">
      <c r="E1637" s="255" t="s">
        <v>367</v>
      </c>
      <c r="L1637" s="264">
        <v>39088</v>
      </c>
      <c r="M1637" s="264">
        <v>31855</v>
      </c>
      <c r="N1637" s="264">
        <v>31855</v>
      </c>
    </row>
    <row r="1638" spans="1:14" hidden="1">
      <c r="E1638" s="255" t="s">
        <v>322</v>
      </c>
      <c r="L1638" s="264">
        <v>72998</v>
      </c>
      <c r="M1638" s="264">
        <v>331807</v>
      </c>
      <c r="N1638" s="264">
        <v>331807</v>
      </c>
    </row>
    <row r="1639" spans="1:14" hidden="1">
      <c r="C1639" s="249">
        <v>52</v>
      </c>
      <c r="D1639" s="249" t="s">
        <v>69</v>
      </c>
      <c r="E1639" s="255" t="s">
        <v>84</v>
      </c>
      <c r="L1639" s="264">
        <v>19908</v>
      </c>
      <c r="M1639" s="264">
        <v>19908</v>
      </c>
      <c r="N1639" s="264">
        <v>19908</v>
      </c>
    </row>
    <row r="1640" spans="1:14" hidden="1">
      <c r="E1640" s="255" t="s">
        <v>226</v>
      </c>
      <c r="L1640" s="264">
        <v>6007</v>
      </c>
      <c r="M1640" s="264">
        <v>8435</v>
      </c>
      <c r="N1640" s="264">
        <v>2120</v>
      </c>
    </row>
    <row r="1641" spans="1:14" ht="30" hidden="1">
      <c r="A1641" s="249" t="s">
        <v>419</v>
      </c>
      <c r="B1641" s="252" t="s">
        <v>420</v>
      </c>
      <c r="C1641" s="249">
        <v>11</v>
      </c>
      <c r="D1641" s="249" t="s">
        <v>100</v>
      </c>
      <c r="E1641" s="255" t="s">
        <v>84</v>
      </c>
      <c r="L1641" s="264">
        <v>4323522.796486944</v>
      </c>
      <c r="M1641" s="264">
        <v>4344068.0380830755</v>
      </c>
      <c r="N1641" s="264">
        <v>4364709.6572425095</v>
      </c>
    </row>
    <row r="1642" spans="1:14" hidden="1">
      <c r="E1642" s="255" t="s">
        <v>226</v>
      </c>
      <c r="L1642" s="264">
        <v>103593.88267546811</v>
      </c>
      <c r="M1642" s="264">
        <v>104086.1574818316</v>
      </c>
      <c r="N1642" s="264">
        <v>104580.7415453577</v>
      </c>
    </row>
    <row r="1643" spans="1:14" ht="30" hidden="1">
      <c r="A1643" s="249" t="s">
        <v>365</v>
      </c>
      <c r="B1643" s="252" t="s">
        <v>366</v>
      </c>
      <c r="C1643" s="249">
        <v>11</v>
      </c>
      <c r="D1643" s="249" t="s">
        <v>100</v>
      </c>
      <c r="E1643" s="255" t="s">
        <v>226</v>
      </c>
      <c r="L1643" s="264">
        <v>586942.9703871666</v>
      </c>
      <c r="M1643" s="264">
        <v>586942.9703871666</v>
      </c>
      <c r="N1643" s="264">
        <v>586942.9703871666</v>
      </c>
    </row>
    <row r="1644" spans="1:14" hidden="1">
      <c r="E1644" s="255" t="s">
        <v>192</v>
      </c>
      <c r="L1644" s="264">
        <v>2082.1162977676672</v>
      </c>
      <c r="M1644" s="264">
        <v>2082.1162977676672</v>
      </c>
      <c r="N1644" s="264">
        <v>2082.1162977676672</v>
      </c>
    </row>
    <row r="1645" spans="1:14" hidden="1">
      <c r="E1645" s="255" t="s">
        <v>367</v>
      </c>
      <c r="L1645" s="264">
        <v>92442.000830151155</v>
      </c>
      <c r="M1645" s="264">
        <v>92442.000830151155</v>
      </c>
      <c r="N1645" s="264">
        <v>92442.000830151155</v>
      </c>
    </row>
    <row r="1646" spans="1:14" ht="30" hidden="1">
      <c r="A1646" s="249" t="s">
        <v>423</v>
      </c>
      <c r="B1646" s="252" t="s">
        <v>424</v>
      </c>
      <c r="C1646" s="249">
        <v>51</v>
      </c>
      <c r="D1646" s="249" t="s">
        <v>109</v>
      </c>
      <c r="E1646" s="255" t="s">
        <v>226</v>
      </c>
      <c r="L1646" s="264">
        <v>12421</v>
      </c>
      <c r="M1646" s="264"/>
      <c r="N1646" s="264"/>
    </row>
    <row r="1647" spans="1:14" hidden="1">
      <c r="C1647" s="249">
        <v>52</v>
      </c>
      <c r="D1647" s="249" t="s">
        <v>69</v>
      </c>
      <c r="E1647" s="255" t="s">
        <v>84</v>
      </c>
      <c r="L1647" s="264">
        <v>69714</v>
      </c>
      <c r="M1647" s="264"/>
      <c r="N1647" s="264"/>
    </row>
    <row r="1648" spans="1:14" hidden="1">
      <c r="E1648" s="255" t="s">
        <v>226</v>
      </c>
      <c r="L1648" s="264">
        <v>13000</v>
      </c>
      <c r="M1648" s="264"/>
      <c r="N1648" s="264"/>
    </row>
    <row r="1649" spans="1:14" hidden="1">
      <c r="E1649" s="255" t="s">
        <v>367</v>
      </c>
      <c r="L1649" s="264">
        <v>110816</v>
      </c>
      <c r="M1649" s="264"/>
      <c r="N1649" s="264"/>
    </row>
    <row r="1650" spans="1:14" ht="30" hidden="1">
      <c r="A1650" s="249" t="s">
        <v>421</v>
      </c>
      <c r="B1650" s="252" t="s">
        <v>422</v>
      </c>
      <c r="C1650" s="249">
        <v>31</v>
      </c>
      <c r="D1650" s="249" t="s">
        <v>333</v>
      </c>
      <c r="E1650" s="255" t="s">
        <v>84</v>
      </c>
      <c r="L1650" s="264">
        <v>117193</v>
      </c>
      <c r="M1650" s="264">
        <v>117193</v>
      </c>
      <c r="N1650" s="264">
        <v>117193</v>
      </c>
    </row>
    <row r="1651" spans="1:14" hidden="1">
      <c r="E1651" s="255" t="s">
        <v>226</v>
      </c>
      <c r="L1651" s="264">
        <v>59047</v>
      </c>
      <c r="M1651" s="264">
        <v>59047</v>
      </c>
      <c r="N1651" s="264">
        <v>59047</v>
      </c>
    </row>
    <row r="1652" spans="1:14" hidden="1">
      <c r="E1652" s="255" t="s">
        <v>192</v>
      </c>
      <c r="L1652" s="264">
        <v>199</v>
      </c>
      <c r="M1652" s="264">
        <v>199</v>
      </c>
      <c r="N1652" s="264">
        <v>199</v>
      </c>
    </row>
    <row r="1653" spans="1:14" hidden="1">
      <c r="E1653" s="255" t="s">
        <v>367</v>
      </c>
      <c r="L1653" s="264">
        <v>266</v>
      </c>
      <c r="M1653" s="264">
        <v>266</v>
      </c>
      <c r="N1653" s="264">
        <v>266</v>
      </c>
    </row>
    <row r="1654" spans="1:14" hidden="1">
      <c r="C1654" s="249">
        <v>43</v>
      </c>
      <c r="D1654" s="249" t="s">
        <v>104</v>
      </c>
      <c r="E1654" s="255" t="s">
        <v>84</v>
      </c>
      <c r="L1654" s="264">
        <v>278140</v>
      </c>
      <c r="M1654" s="264">
        <v>278140</v>
      </c>
      <c r="N1654" s="264">
        <v>278140</v>
      </c>
    </row>
    <row r="1655" spans="1:14" hidden="1">
      <c r="E1655" s="255" t="s">
        <v>226</v>
      </c>
      <c r="L1655" s="264">
        <v>196138</v>
      </c>
      <c r="M1655" s="264">
        <v>196138</v>
      </c>
      <c r="N1655" s="264">
        <v>196138</v>
      </c>
    </row>
    <row r="1656" spans="1:14" hidden="1">
      <c r="E1656" s="255" t="s">
        <v>192</v>
      </c>
      <c r="L1656" s="264">
        <v>3130</v>
      </c>
      <c r="M1656" s="264">
        <v>3130</v>
      </c>
      <c r="N1656" s="264">
        <v>3130</v>
      </c>
    </row>
    <row r="1657" spans="1:14" hidden="1">
      <c r="E1657" s="255" t="s">
        <v>209</v>
      </c>
      <c r="L1657" s="264">
        <v>3400</v>
      </c>
      <c r="M1657" s="264">
        <v>3400</v>
      </c>
      <c r="N1657" s="264">
        <v>3400</v>
      </c>
    </row>
    <row r="1658" spans="1:14" hidden="1">
      <c r="E1658" s="255" t="s">
        <v>367</v>
      </c>
      <c r="L1658" s="264">
        <v>385000</v>
      </c>
      <c r="M1658" s="264">
        <v>115000</v>
      </c>
      <c r="N1658" s="264">
        <v>115000</v>
      </c>
    </row>
    <row r="1659" spans="1:14" hidden="1">
      <c r="C1659" s="249">
        <v>52</v>
      </c>
      <c r="D1659" s="249" t="s">
        <v>69</v>
      </c>
      <c r="E1659" s="255" t="s">
        <v>84</v>
      </c>
      <c r="L1659" s="264">
        <v>219822</v>
      </c>
      <c r="M1659" s="264">
        <v>124230</v>
      </c>
      <c r="N1659" s="264">
        <v>67304</v>
      </c>
    </row>
    <row r="1660" spans="1:14" hidden="1">
      <c r="E1660" s="255" t="s">
        <v>226</v>
      </c>
      <c r="L1660" s="264">
        <v>25070</v>
      </c>
      <c r="M1660" s="264">
        <v>20818</v>
      </c>
      <c r="N1660" s="264">
        <v>20818</v>
      </c>
    </row>
    <row r="1661" spans="1:14" hidden="1">
      <c r="C1661" s="249">
        <v>61</v>
      </c>
      <c r="D1661" s="249" t="s">
        <v>276</v>
      </c>
      <c r="E1661" s="255" t="s">
        <v>84</v>
      </c>
      <c r="L1661" s="264">
        <v>106160</v>
      </c>
      <c r="M1661" s="264"/>
      <c r="N1661" s="264"/>
    </row>
    <row r="1662" spans="1:14" hidden="1">
      <c r="E1662" s="255" t="s">
        <v>226</v>
      </c>
      <c r="L1662" s="264">
        <v>149450</v>
      </c>
      <c r="M1662" s="264"/>
      <c r="N1662" s="264"/>
    </row>
    <row r="1663" spans="1:14" hidden="1">
      <c r="E1663" s="255" t="s">
        <v>367</v>
      </c>
      <c r="L1663" s="264">
        <v>3982</v>
      </c>
      <c r="M1663" s="264"/>
      <c r="N1663" s="264"/>
    </row>
    <row r="1664" spans="1:14" hidden="1">
      <c r="C1664" s="249">
        <v>71</v>
      </c>
      <c r="D1664" s="249" t="s">
        <v>387</v>
      </c>
      <c r="E1664" s="255" t="s">
        <v>367</v>
      </c>
      <c r="L1664" s="264">
        <v>265</v>
      </c>
      <c r="M1664" s="264">
        <v>265</v>
      </c>
      <c r="N1664" s="264">
        <v>265</v>
      </c>
    </row>
    <row r="1665" spans="1:14" ht="30" hidden="1">
      <c r="A1665" s="249" t="s">
        <v>372</v>
      </c>
      <c r="B1665" s="252" t="s">
        <v>373</v>
      </c>
      <c r="C1665" s="249">
        <v>563</v>
      </c>
      <c r="D1665" s="249" t="s">
        <v>374</v>
      </c>
      <c r="E1665" s="255" t="s">
        <v>84</v>
      </c>
      <c r="L1665" s="264">
        <v>69705</v>
      </c>
      <c r="M1665" s="264"/>
      <c r="N1665" s="264"/>
    </row>
    <row r="1666" spans="1:14" hidden="1">
      <c r="E1666" s="255" t="s">
        <v>226</v>
      </c>
      <c r="L1666" s="264">
        <v>128400</v>
      </c>
      <c r="M1666" s="264"/>
      <c r="N1666" s="264"/>
    </row>
    <row r="1667" spans="1:14" hidden="1">
      <c r="E1667" s="255" t="s">
        <v>204</v>
      </c>
      <c r="L1667" s="264">
        <v>3982</v>
      </c>
      <c r="M1667" s="264"/>
      <c r="N1667" s="264"/>
    </row>
    <row r="1668" spans="1:14" ht="30" hidden="1">
      <c r="A1668" s="249" t="s">
        <v>419</v>
      </c>
      <c r="B1668" s="252" t="s">
        <v>420</v>
      </c>
      <c r="C1668" s="249">
        <v>11</v>
      </c>
      <c r="D1668" s="249" t="s">
        <v>100</v>
      </c>
      <c r="E1668" s="255" t="s">
        <v>84</v>
      </c>
      <c r="L1668" s="264">
        <v>6815058.1136913653</v>
      </c>
      <c r="M1668" s="264">
        <v>6847443.0511667114</v>
      </c>
      <c r="N1668" s="264">
        <v>6879979.9061236316</v>
      </c>
    </row>
    <row r="1669" spans="1:14" hidden="1">
      <c r="E1669" s="255" t="s">
        <v>226</v>
      </c>
      <c r="L1669" s="264">
        <v>85303.846968754806</v>
      </c>
      <c r="M1669" s="264">
        <v>85709.208112328866</v>
      </c>
      <c r="N1669" s="264">
        <v>86116.470801771487</v>
      </c>
    </row>
    <row r="1670" spans="1:14" ht="30" hidden="1">
      <c r="A1670" s="249" t="s">
        <v>381</v>
      </c>
      <c r="B1670" s="252" t="s">
        <v>382</v>
      </c>
      <c r="C1670" s="249">
        <v>11</v>
      </c>
      <c r="D1670" s="249" t="s">
        <v>100</v>
      </c>
      <c r="E1670" s="255" t="s">
        <v>226</v>
      </c>
      <c r="L1670" s="264">
        <v>8366</v>
      </c>
      <c r="M1670" s="264">
        <v>8366</v>
      </c>
      <c r="N1670" s="264">
        <v>8366</v>
      </c>
    </row>
    <row r="1671" spans="1:14" hidden="1">
      <c r="A1671" s="249" t="s">
        <v>383</v>
      </c>
      <c r="B1671" s="252" t="s">
        <v>384</v>
      </c>
      <c r="C1671" s="249">
        <v>11</v>
      </c>
      <c r="D1671" s="249" t="s">
        <v>100</v>
      </c>
      <c r="E1671" s="255" t="s">
        <v>84</v>
      </c>
      <c r="L1671" s="264">
        <v>10527.689972</v>
      </c>
      <c r="M1671" s="264">
        <v>10527.689972</v>
      </c>
      <c r="N1671" s="264">
        <v>10527.689972</v>
      </c>
    </row>
    <row r="1672" spans="1:14" hidden="1">
      <c r="E1672" s="255" t="s">
        <v>226</v>
      </c>
      <c r="L1672" s="264">
        <v>390.15528</v>
      </c>
      <c r="M1672" s="264">
        <v>390.15528</v>
      </c>
      <c r="N1672" s="264">
        <v>390.15528</v>
      </c>
    </row>
    <row r="1673" spans="1:14" ht="30" hidden="1">
      <c r="A1673" s="249" t="s">
        <v>365</v>
      </c>
      <c r="B1673" s="252" t="s">
        <v>366</v>
      </c>
      <c r="C1673" s="249">
        <v>11</v>
      </c>
      <c r="D1673" s="249" t="s">
        <v>100</v>
      </c>
      <c r="E1673" s="255" t="s">
        <v>84</v>
      </c>
      <c r="L1673" s="264">
        <v>26094.930120457069</v>
      </c>
      <c r="M1673" s="264">
        <v>26094.930120457069</v>
      </c>
      <c r="N1673" s="264">
        <v>26094.930120457069</v>
      </c>
    </row>
    <row r="1674" spans="1:14" hidden="1">
      <c r="E1674" s="255" t="s">
        <v>226</v>
      </c>
      <c r="L1674" s="264">
        <v>368713.89935957891</v>
      </c>
      <c r="M1674" s="264">
        <v>368713.89935957891</v>
      </c>
      <c r="N1674" s="264">
        <v>368713.89935957891</v>
      </c>
    </row>
    <row r="1675" spans="1:14" hidden="1">
      <c r="E1675" s="255" t="s">
        <v>192</v>
      </c>
      <c r="L1675" s="264">
        <v>2758.2625136815695</v>
      </c>
      <c r="M1675" s="264">
        <v>2758.2625136815695</v>
      </c>
      <c r="N1675" s="264">
        <v>2758.2625136815695</v>
      </c>
    </row>
    <row r="1676" spans="1:14" hidden="1">
      <c r="E1676" s="255" t="s">
        <v>209</v>
      </c>
      <c r="L1676" s="264">
        <v>438.38293767282653</v>
      </c>
      <c r="M1676" s="264">
        <v>438.38293767282653</v>
      </c>
      <c r="N1676" s="264">
        <v>438.38293767282653</v>
      </c>
    </row>
    <row r="1677" spans="1:14" hidden="1">
      <c r="E1677" s="255" t="s">
        <v>367</v>
      </c>
      <c r="L1677" s="264">
        <v>28882.087931348709</v>
      </c>
      <c r="M1677" s="264">
        <v>28882.087931348709</v>
      </c>
      <c r="N1677" s="264">
        <v>28882.087931348709</v>
      </c>
    </row>
    <row r="1678" spans="1:14" hidden="1">
      <c r="E1678" s="255" t="s">
        <v>322</v>
      </c>
      <c r="L1678" s="264">
        <v>32872.941266019981</v>
      </c>
      <c r="M1678" s="264">
        <v>32872.941266019981</v>
      </c>
      <c r="N1678" s="264">
        <v>32872.941266019981</v>
      </c>
    </row>
    <row r="1679" spans="1:14" ht="30" hidden="1">
      <c r="A1679" s="249" t="s">
        <v>421</v>
      </c>
      <c r="B1679" s="252" t="s">
        <v>422</v>
      </c>
      <c r="C1679" s="249">
        <v>31</v>
      </c>
      <c r="D1679" s="249" t="s">
        <v>333</v>
      </c>
      <c r="E1679" s="255" t="s">
        <v>84</v>
      </c>
      <c r="L1679" s="264">
        <v>644910</v>
      </c>
      <c r="M1679" s="264">
        <v>645425</v>
      </c>
      <c r="N1679" s="264">
        <v>645425</v>
      </c>
    </row>
    <row r="1680" spans="1:14" hidden="1">
      <c r="E1680" s="255" t="s">
        <v>226</v>
      </c>
      <c r="L1680" s="264">
        <v>31714</v>
      </c>
      <c r="M1680" s="264">
        <v>31875</v>
      </c>
      <c r="N1680" s="264">
        <v>31875</v>
      </c>
    </row>
    <row r="1681" spans="1:14" hidden="1">
      <c r="E1681" s="255" t="s">
        <v>215</v>
      </c>
      <c r="L1681" s="264">
        <v>4008</v>
      </c>
      <c r="M1681" s="264">
        <v>4000</v>
      </c>
      <c r="N1681" s="264">
        <v>4000</v>
      </c>
    </row>
    <row r="1682" spans="1:14" hidden="1">
      <c r="E1682" s="255" t="s">
        <v>367</v>
      </c>
      <c r="L1682" s="264">
        <v>8219</v>
      </c>
      <c r="M1682" s="264">
        <v>8300</v>
      </c>
      <c r="N1682" s="264">
        <v>8300</v>
      </c>
    </row>
    <row r="1683" spans="1:14" hidden="1">
      <c r="E1683" s="255" t="s">
        <v>322</v>
      </c>
      <c r="L1683" s="264">
        <v>411441</v>
      </c>
      <c r="M1683" s="264">
        <v>0</v>
      </c>
      <c r="N1683" s="264">
        <v>0</v>
      </c>
    </row>
    <row r="1684" spans="1:14" hidden="1">
      <c r="C1684" s="249">
        <v>43</v>
      </c>
      <c r="D1684" s="249" t="s">
        <v>104</v>
      </c>
      <c r="E1684" s="255" t="s">
        <v>84</v>
      </c>
      <c r="L1684" s="264">
        <v>98849</v>
      </c>
      <c r="M1684" s="264">
        <v>98870</v>
      </c>
      <c r="N1684" s="264">
        <v>98870</v>
      </c>
    </row>
    <row r="1685" spans="1:14" hidden="1">
      <c r="E1685" s="255" t="s">
        <v>226</v>
      </c>
      <c r="L1685" s="264">
        <v>52512</v>
      </c>
      <c r="M1685" s="264">
        <v>42533</v>
      </c>
      <c r="N1685" s="264">
        <v>42533</v>
      </c>
    </row>
    <row r="1686" spans="1:14" hidden="1">
      <c r="E1686" s="255" t="s">
        <v>192</v>
      </c>
      <c r="L1686" s="264">
        <v>223</v>
      </c>
      <c r="M1686" s="264">
        <v>225</v>
      </c>
      <c r="N1686" s="264">
        <v>225</v>
      </c>
    </row>
    <row r="1687" spans="1:14" hidden="1">
      <c r="E1687" s="255" t="s">
        <v>209</v>
      </c>
      <c r="L1687" s="264">
        <v>13767</v>
      </c>
      <c r="M1687" s="264">
        <v>13770</v>
      </c>
      <c r="N1687" s="264">
        <v>13770</v>
      </c>
    </row>
    <row r="1688" spans="1:14" hidden="1">
      <c r="E1688" s="255" t="s">
        <v>322</v>
      </c>
      <c r="L1688" s="264">
        <v>189794</v>
      </c>
      <c r="M1688" s="264">
        <v>0</v>
      </c>
      <c r="N1688" s="264">
        <v>0</v>
      </c>
    </row>
    <row r="1689" spans="1:14" hidden="1">
      <c r="C1689" s="249">
        <v>52</v>
      </c>
      <c r="D1689" s="249" t="s">
        <v>69</v>
      </c>
      <c r="E1689" s="255" t="s">
        <v>84</v>
      </c>
      <c r="L1689" s="264">
        <v>60025</v>
      </c>
      <c r="M1689" s="264">
        <v>42545</v>
      </c>
      <c r="N1689" s="264">
        <v>18809</v>
      </c>
    </row>
    <row r="1690" spans="1:14" hidden="1">
      <c r="E1690" s="255" t="s">
        <v>226</v>
      </c>
      <c r="L1690" s="264">
        <v>34239</v>
      </c>
      <c r="M1690" s="264">
        <v>24558</v>
      </c>
      <c r="N1690" s="264">
        <v>29067</v>
      </c>
    </row>
    <row r="1691" spans="1:14" hidden="1">
      <c r="E1691" s="255" t="s">
        <v>367</v>
      </c>
      <c r="L1691" s="264">
        <v>5468</v>
      </c>
      <c r="M1691" s="264">
        <v>4114</v>
      </c>
      <c r="N1691" s="264">
        <v>2283</v>
      </c>
    </row>
    <row r="1692" spans="1:14" hidden="1">
      <c r="C1692" s="249">
        <v>71</v>
      </c>
      <c r="D1692" s="249" t="s">
        <v>387</v>
      </c>
      <c r="E1692" s="255" t="s">
        <v>367</v>
      </c>
      <c r="L1692" s="264">
        <v>7300</v>
      </c>
      <c r="M1692" s="264">
        <v>600</v>
      </c>
      <c r="N1692" s="264">
        <v>600</v>
      </c>
    </row>
    <row r="1693" spans="1:14" ht="30" hidden="1">
      <c r="A1693" s="249" t="s">
        <v>413</v>
      </c>
      <c r="B1693" s="252" t="s">
        <v>414</v>
      </c>
      <c r="C1693" s="249">
        <v>11</v>
      </c>
      <c r="D1693" s="249" t="s">
        <v>100</v>
      </c>
      <c r="E1693" s="255" t="s">
        <v>84</v>
      </c>
      <c r="L1693" s="264">
        <v>7234555.957291414</v>
      </c>
      <c r="M1693" s="264">
        <v>7269154.8676456129</v>
      </c>
      <c r="N1693" s="264">
        <v>7303915.9779750798</v>
      </c>
    </row>
    <row r="1694" spans="1:14" hidden="1">
      <c r="E1694" s="255" t="s">
        <v>226</v>
      </c>
      <c r="L1694" s="264">
        <v>116333.18283082542</v>
      </c>
      <c r="M1694" s="264">
        <v>116889.54059317373</v>
      </c>
      <c r="N1694" s="264">
        <v>117448.50656527112</v>
      </c>
    </row>
    <row r="1695" spans="1:14" hidden="1">
      <c r="A1695" s="249" t="s">
        <v>383</v>
      </c>
      <c r="B1695" s="252" t="s">
        <v>384</v>
      </c>
      <c r="C1695" s="249">
        <v>11</v>
      </c>
      <c r="D1695" s="249" t="s">
        <v>100</v>
      </c>
      <c r="E1695" s="255" t="s">
        <v>84</v>
      </c>
      <c r="L1695" s="264">
        <v>21241.353960800003</v>
      </c>
      <c r="M1695" s="264">
        <v>21241.353960800003</v>
      </c>
      <c r="N1695" s="264">
        <v>21241.353960800003</v>
      </c>
    </row>
    <row r="1696" spans="1:14" hidden="1">
      <c r="E1696" s="255" t="s">
        <v>226</v>
      </c>
      <c r="L1696" s="264">
        <v>6041.5545107999997</v>
      </c>
      <c r="M1696" s="264">
        <v>6041.5545107999997</v>
      </c>
      <c r="N1696" s="264">
        <v>6041.5545107999997</v>
      </c>
    </row>
    <row r="1697" spans="1:14" hidden="1">
      <c r="E1697" s="255" t="s">
        <v>192</v>
      </c>
      <c r="L1697" s="264">
        <v>6731.4790975999995</v>
      </c>
      <c r="M1697" s="264">
        <v>6731.4790975999995</v>
      </c>
      <c r="N1697" s="264">
        <v>6731.4790975999995</v>
      </c>
    </row>
    <row r="1698" spans="1:14" ht="30" hidden="1">
      <c r="A1698" s="249" t="s">
        <v>365</v>
      </c>
      <c r="B1698" s="252" t="s">
        <v>366</v>
      </c>
      <c r="C1698" s="249">
        <v>11</v>
      </c>
      <c r="D1698" s="249" t="s">
        <v>100</v>
      </c>
      <c r="E1698" s="255" t="s">
        <v>84</v>
      </c>
      <c r="L1698" s="264">
        <v>208190.16466029492</v>
      </c>
      <c r="M1698" s="264">
        <v>208190.16466029492</v>
      </c>
      <c r="N1698" s="264">
        <v>208190.16466029492</v>
      </c>
    </row>
    <row r="1699" spans="1:14" hidden="1">
      <c r="E1699" s="255" t="s">
        <v>226</v>
      </c>
      <c r="L1699" s="264">
        <v>706684.47146247386</v>
      </c>
      <c r="M1699" s="264">
        <v>706684.47146247386</v>
      </c>
      <c r="N1699" s="264">
        <v>706684.47146247386</v>
      </c>
    </row>
    <row r="1700" spans="1:14" hidden="1">
      <c r="E1700" s="255" t="s">
        <v>367</v>
      </c>
      <c r="L1700" s="264">
        <v>170693.08292821332</v>
      </c>
      <c r="M1700" s="264">
        <v>170693.08292821332</v>
      </c>
      <c r="N1700" s="264">
        <v>170693.08292821332</v>
      </c>
    </row>
    <row r="1701" spans="1:14" ht="30" hidden="1">
      <c r="A1701" s="249" t="s">
        <v>415</v>
      </c>
      <c r="B1701" s="252" t="s">
        <v>416</v>
      </c>
      <c r="C1701" s="249">
        <v>51</v>
      </c>
      <c r="D1701" s="249" t="s">
        <v>109</v>
      </c>
      <c r="E1701" s="255" t="s">
        <v>84</v>
      </c>
      <c r="L1701" s="264">
        <v>18650</v>
      </c>
      <c r="M1701" s="264"/>
      <c r="N1701" s="264"/>
    </row>
    <row r="1702" spans="1:14" hidden="1">
      <c r="E1702" s="255" t="s">
        <v>226</v>
      </c>
      <c r="L1702" s="264">
        <v>62197</v>
      </c>
      <c r="M1702" s="264">
        <v>41507</v>
      </c>
      <c r="N1702" s="264"/>
    </row>
    <row r="1703" spans="1:14" hidden="1">
      <c r="E1703" s="255" t="s">
        <v>192</v>
      </c>
      <c r="L1703" s="264">
        <v>66</v>
      </c>
      <c r="M1703" s="264"/>
      <c r="N1703" s="264"/>
    </row>
    <row r="1704" spans="1:14" hidden="1">
      <c r="E1704" s="255" t="s">
        <v>367</v>
      </c>
      <c r="L1704" s="264">
        <v>84279</v>
      </c>
      <c r="M1704" s="264">
        <v>49580</v>
      </c>
      <c r="N1704" s="264">
        <v>26518</v>
      </c>
    </row>
    <row r="1705" spans="1:14" hidden="1">
      <c r="C1705" s="249">
        <v>52</v>
      </c>
      <c r="D1705" s="249" t="s">
        <v>69</v>
      </c>
      <c r="E1705" s="255" t="s">
        <v>84</v>
      </c>
      <c r="L1705" s="264">
        <v>112569</v>
      </c>
      <c r="M1705" s="264">
        <v>66470</v>
      </c>
      <c r="N1705" s="264"/>
    </row>
    <row r="1706" spans="1:14" hidden="1">
      <c r="E1706" s="255" t="s">
        <v>226</v>
      </c>
      <c r="L1706" s="264">
        <v>298059</v>
      </c>
      <c r="M1706" s="264">
        <v>45123</v>
      </c>
      <c r="N1706" s="264">
        <v>5647</v>
      </c>
    </row>
    <row r="1707" spans="1:14" hidden="1">
      <c r="E1707" s="255" t="s">
        <v>367</v>
      </c>
      <c r="L1707" s="264">
        <v>106974</v>
      </c>
      <c r="M1707" s="264">
        <v>64372</v>
      </c>
      <c r="N1707" s="264"/>
    </row>
    <row r="1708" spans="1:14" hidden="1">
      <c r="C1708" s="249">
        <v>61</v>
      </c>
      <c r="D1708" s="249" t="s">
        <v>276</v>
      </c>
      <c r="E1708" s="255" t="s">
        <v>84</v>
      </c>
      <c r="L1708" s="264">
        <v>356514</v>
      </c>
      <c r="M1708" s="264">
        <v>0</v>
      </c>
      <c r="N1708" s="264">
        <v>0</v>
      </c>
    </row>
    <row r="1709" spans="1:14" hidden="1">
      <c r="E1709" s="255" t="s">
        <v>226</v>
      </c>
      <c r="L1709" s="264">
        <v>349883</v>
      </c>
      <c r="M1709" s="264"/>
      <c r="N1709" s="264"/>
    </row>
    <row r="1710" spans="1:14" hidden="1">
      <c r="E1710" s="255" t="s">
        <v>192</v>
      </c>
      <c r="L1710" s="264">
        <v>132</v>
      </c>
      <c r="M1710" s="264"/>
      <c r="N1710" s="264"/>
    </row>
    <row r="1711" spans="1:14" hidden="1">
      <c r="E1711" s="255" t="s">
        <v>367</v>
      </c>
      <c r="L1711" s="264">
        <v>183671</v>
      </c>
      <c r="M1711" s="264"/>
      <c r="N1711" s="264"/>
    </row>
    <row r="1712" spans="1:14" ht="30" hidden="1">
      <c r="A1712" s="249" t="s">
        <v>417</v>
      </c>
      <c r="B1712" s="252" t="s">
        <v>418</v>
      </c>
      <c r="C1712" s="249">
        <v>31</v>
      </c>
      <c r="D1712" s="249" t="s">
        <v>333</v>
      </c>
      <c r="E1712" s="255" t="s">
        <v>84</v>
      </c>
      <c r="L1712" s="264">
        <v>54034</v>
      </c>
      <c r="M1712" s="264">
        <v>54034</v>
      </c>
      <c r="N1712" s="264">
        <v>54034</v>
      </c>
    </row>
    <row r="1713" spans="1:14" hidden="1">
      <c r="E1713" s="255" t="s">
        <v>226</v>
      </c>
      <c r="L1713" s="264">
        <v>390294</v>
      </c>
      <c r="M1713" s="264">
        <v>546907</v>
      </c>
      <c r="N1713" s="264">
        <v>546907</v>
      </c>
    </row>
    <row r="1714" spans="1:14" hidden="1">
      <c r="E1714" s="255" t="s">
        <v>215</v>
      </c>
      <c r="L1714" s="264">
        <v>3982</v>
      </c>
      <c r="M1714" s="264">
        <v>3982</v>
      </c>
      <c r="N1714" s="264">
        <v>3982</v>
      </c>
    </row>
    <row r="1715" spans="1:14" hidden="1">
      <c r="E1715" s="255" t="s">
        <v>367</v>
      </c>
      <c r="L1715" s="264">
        <v>170273</v>
      </c>
      <c r="M1715" s="264">
        <v>170273</v>
      </c>
      <c r="N1715" s="264">
        <v>170273</v>
      </c>
    </row>
    <row r="1716" spans="1:14" hidden="1">
      <c r="C1716" s="249">
        <v>43</v>
      </c>
      <c r="D1716" s="249" t="s">
        <v>104</v>
      </c>
      <c r="E1716" s="255" t="s">
        <v>84</v>
      </c>
      <c r="L1716" s="264">
        <v>414640</v>
      </c>
      <c r="M1716" s="264">
        <v>414640</v>
      </c>
      <c r="N1716" s="264">
        <v>414640</v>
      </c>
    </row>
    <row r="1717" spans="1:14" hidden="1">
      <c r="E1717" s="255" t="s">
        <v>226</v>
      </c>
      <c r="L1717" s="264">
        <v>470240</v>
      </c>
      <c r="M1717" s="264">
        <v>313627</v>
      </c>
      <c r="N1717" s="264">
        <v>313627</v>
      </c>
    </row>
    <row r="1718" spans="1:14" hidden="1">
      <c r="E1718" s="255" t="s">
        <v>192</v>
      </c>
      <c r="L1718" s="264">
        <v>5309</v>
      </c>
      <c r="M1718" s="264">
        <v>5309</v>
      </c>
      <c r="N1718" s="264">
        <v>5309</v>
      </c>
    </row>
    <row r="1719" spans="1:14" hidden="1">
      <c r="E1719" s="255" t="s">
        <v>209</v>
      </c>
      <c r="L1719" s="264">
        <v>2654</v>
      </c>
      <c r="M1719" s="264">
        <v>2654</v>
      </c>
      <c r="N1719" s="264">
        <v>2654</v>
      </c>
    </row>
    <row r="1720" spans="1:14" hidden="1">
      <c r="E1720" s="255" t="s">
        <v>367</v>
      </c>
      <c r="L1720" s="264">
        <v>26545</v>
      </c>
      <c r="M1720" s="264">
        <v>26545</v>
      </c>
      <c r="N1720" s="264">
        <v>26545</v>
      </c>
    </row>
    <row r="1721" spans="1:14" hidden="1">
      <c r="C1721" s="249">
        <v>52</v>
      </c>
      <c r="D1721" s="249" t="s">
        <v>69</v>
      </c>
      <c r="E1721" s="255" t="s">
        <v>84</v>
      </c>
      <c r="L1721" s="264">
        <v>114178</v>
      </c>
      <c r="M1721" s="264">
        <v>46466</v>
      </c>
      <c r="N1721" s="264">
        <v>41604</v>
      </c>
    </row>
    <row r="1722" spans="1:14" hidden="1">
      <c r="E1722" s="255" t="s">
        <v>226</v>
      </c>
      <c r="L1722" s="264">
        <v>42459</v>
      </c>
      <c r="M1722" s="264">
        <v>20667</v>
      </c>
      <c r="N1722" s="264">
        <v>19660</v>
      </c>
    </row>
    <row r="1723" spans="1:14" hidden="1">
      <c r="E1723" s="255" t="s">
        <v>367</v>
      </c>
      <c r="L1723" s="264">
        <v>18619</v>
      </c>
      <c r="M1723" s="264">
        <v>1990</v>
      </c>
      <c r="N1723" s="264"/>
    </row>
    <row r="1724" spans="1:14" hidden="1">
      <c r="C1724" s="249">
        <v>71</v>
      </c>
      <c r="D1724" s="249" t="s">
        <v>387</v>
      </c>
      <c r="E1724" s="255" t="s">
        <v>367</v>
      </c>
      <c r="L1724" s="264">
        <v>0</v>
      </c>
      <c r="M1724" s="264"/>
      <c r="N1724" s="264">
        <v>30524</v>
      </c>
    </row>
    <row r="1725" spans="1:14" ht="30" hidden="1">
      <c r="A1725" s="249" t="s">
        <v>372</v>
      </c>
      <c r="B1725" s="252" t="s">
        <v>373</v>
      </c>
      <c r="C1725" s="249">
        <v>563</v>
      </c>
      <c r="D1725" s="249" t="s">
        <v>374</v>
      </c>
      <c r="E1725" s="255" t="s">
        <v>84</v>
      </c>
      <c r="L1725" s="264">
        <v>76942</v>
      </c>
      <c r="M1725" s="264"/>
      <c r="N1725" s="264"/>
    </row>
    <row r="1726" spans="1:14" hidden="1">
      <c r="E1726" s="255" t="s">
        <v>226</v>
      </c>
      <c r="L1726" s="264">
        <v>79115</v>
      </c>
      <c r="M1726" s="264"/>
      <c r="N1726" s="264"/>
    </row>
    <row r="1727" spans="1:14" hidden="1">
      <c r="E1727" s="255" t="s">
        <v>367</v>
      </c>
      <c r="L1727" s="264">
        <v>23627</v>
      </c>
      <c r="M1727" s="264"/>
      <c r="N1727" s="264"/>
    </row>
    <row r="1728" spans="1:14" ht="30" hidden="1">
      <c r="A1728" s="249" t="s">
        <v>413</v>
      </c>
      <c r="B1728" s="252" t="s">
        <v>414</v>
      </c>
      <c r="C1728" s="249">
        <v>11</v>
      </c>
      <c r="D1728" s="249" t="s">
        <v>100</v>
      </c>
      <c r="E1728" s="255" t="s">
        <v>84</v>
      </c>
      <c r="L1728" s="264">
        <v>1610329.9515275578</v>
      </c>
      <c r="M1728" s="264">
        <v>1618031.2758330847</v>
      </c>
      <c r="N1728" s="264">
        <v>1625768.7040100659</v>
      </c>
    </row>
    <row r="1729" spans="1:14" hidden="1">
      <c r="E1729" s="255" t="s">
        <v>226</v>
      </c>
      <c r="L1729" s="264">
        <v>35923.369637338968</v>
      </c>
      <c r="M1729" s="264">
        <v>36095.171397259059</v>
      </c>
      <c r="N1729" s="264">
        <v>36267.778565237517</v>
      </c>
    </row>
    <row r="1730" spans="1:14" ht="30" hidden="1">
      <c r="A1730" s="249" t="s">
        <v>381</v>
      </c>
      <c r="B1730" s="252" t="s">
        <v>382</v>
      </c>
      <c r="C1730" s="249">
        <v>11</v>
      </c>
      <c r="D1730" s="249" t="s">
        <v>100</v>
      </c>
      <c r="E1730" s="255" t="s">
        <v>226</v>
      </c>
      <c r="L1730" s="264">
        <v>931.76082882805269</v>
      </c>
      <c r="M1730" s="264">
        <v>931.76082882805269</v>
      </c>
      <c r="N1730" s="264">
        <v>931.76082882805269</v>
      </c>
    </row>
    <row r="1731" spans="1:14" ht="30" hidden="1">
      <c r="A1731" s="249" t="s">
        <v>365</v>
      </c>
      <c r="B1731" s="252" t="s">
        <v>366</v>
      </c>
      <c r="C1731" s="249">
        <v>11</v>
      </c>
      <c r="D1731" s="249" t="s">
        <v>100</v>
      </c>
      <c r="E1731" s="255" t="s">
        <v>226</v>
      </c>
      <c r="L1731" s="264">
        <v>69863.175045992597</v>
      </c>
      <c r="M1731" s="264">
        <v>69863.175045992597</v>
      </c>
      <c r="N1731" s="264">
        <v>69863.175045992597</v>
      </c>
    </row>
    <row r="1732" spans="1:14" hidden="1">
      <c r="E1732" s="255" t="s">
        <v>192</v>
      </c>
      <c r="L1732" s="264">
        <v>412.79070138137735</v>
      </c>
      <c r="M1732" s="264">
        <v>412.79070138137735</v>
      </c>
      <c r="N1732" s="264">
        <v>412.79070138137735</v>
      </c>
    </row>
    <row r="1733" spans="1:14" hidden="1">
      <c r="E1733" s="255" t="s">
        <v>367</v>
      </c>
      <c r="L1733" s="264">
        <v>7017.4419234834149</v>
      </c>
      <c r="M1733" s="264">
        <v>7017.4419234834149</v>
      </c>
      <c r="N1733" s="264">
        <v>7017.4419234834149</v>
      </c>
    </row>
    <row r="1734" spans="1:14" ht="30" hidden="1">
      <c r="A1734" s="249" t="s">
        <v>417</v>
      </c>
      <c r="B1734" s="252" t="s">
        <v>418</v>
      </c>
      <c r="C1734" s="249">
        <v>31</v>
      </c>
      <c r="D1734" s="249" t="s">
        <v>333</v>
      </c>
      <c r="E1734" s="255" t="s">
        <v>84</v>
      </c>
      <c r="L1734" s="264">
        <v>1740</v>
      </c>
      <c r="M1734" s="264">
        <v>2330</v>
      </c>
      <c r="N1734" s="264">
        <v>2563</v>
      </c>
    </row>
    <row r="1735" spans="1:14" hidden="1">
      <c r="E1735" s="255" t="s">
        <v>226</v>
      </c>
      <c r="L1735" s="264">
        <v>5060</v>
      </c>
      <c r="M1735" s="264">
        <v>6070</v>
      </c>
      <c r="N1735" s="264">
        <v>7737</v>
      </c>
    </row>
    <row r="1736" spans="1:14" hidden="1">
      <c r="C1736" s="249">
        <v>43</v>
      </c>
      <c r="D1736" s="249" t="s">
        <v>104</v>
      </c>
      <c r="E1736" s="255" t="s">
        <v>84</v>
      </c>
      <c r="L1736" s="264">
        <v>3472</v>
      </c>
      <c r="M1736" s="264">
        <v>3472</v>
      </c>
      <c r="N1736" s="264">
        <v>3472</v>
      </c>
    </row>
    <row r="1737" spans="1:14" hidden="1">
      <c r="E1737" s="255" t="s">
        <v>226</v>
      </c>
      <c r="L1737" s="264">
        <v>24028</v>
      </c>
      <c r="M1737" s="264">
        <v>23528</v>
      </c>
      <c r="N1737" s="264">
        <v>24528</v>
      </c>
    </row>
    <row r="1738" spans="1:14" hidden="1">
      <c r="C1738" s="249">
        <v>61</v>
      </c>
      <c r="D1738" s="249" t="s">
        <v>276</v>
      </c>
      <c r="E1738" s="255" t="s">
        <v>226</v>
      </c>
      <c r="L1738" s="264">
        <v>6500</v>
      </c>
      <c r="M1738" s="264">
        <v>6500</v>
      </c>
      <c r="N1738" s="264">
        <v>6500</v>
      </c>
    </row>
    <row r="1739" spans="1:14" ht="30" hidden="1">
      <c r="A1739" s="249" t="s">
        <v>413</v>
      </c>
      <c r="B1739" s="252" t="s">
        <v>414</v>
      </c>
      <c r="C1739" s="249">
        <v>11</v>
      </c>
      <c r="D1739" s="249" t="s">
        <v>100</v>
      </c>
      <c r="E1739" s="255" t="s">
        <v>84</v>
      </c>
      <c r="L1739" s="264">
        <v>4126970.878868416</v>
      </c>
      <c r="M1739" s="264">
        <v>4146707.9154350404</v>
      </c>
      <c r="N1739" s="264">
        <v>4166537.4793908284</v>
      </c>
    </row>
    <row r="1740" spans="1:14" hidden="1">
      <c r="E1740" s="255" t="s">
        <v>226</v>
      </c>
      <c r="L1740" s="264">
        <v>63169.192068917306</v>
      </c>
      <c r="M1740" s="264">
        <v>63471.29564326824</v>
      </c>
      <c r="N1740" s="264">
        <v>63774.815481651385</v>
      </c>
    </row>
    <row r="1741" spans="1:14" hidden="1">
      <c r="A1741" s="249" t="s">
        <v>383</v>
      </c>
      <c r="B1741" s="252" t="s">
        <v>384</v>
      </c>
      <c r="C1741" s="249">
        <v>11</v>
      </c>
      <c r="D1741" s="249" t="s">
        <v>100</v>
      </c>
      <c r="E1741" s="255" t="s">
        <v>84</v>
      </c>
      <c r="L1741" s="264">
        <v>7948.7635711999992</v>
      </c>
      <c r="M1741" s="264">
        <v>7948.7635711999992</v>
      </c>
      <c r="N1741" s="264">
        <v>7948.7635711999992</v>
      </c>
    </row>
    <row r="1742" spans="1:14" hidden="1">
      <c r="E1742" s="255" t="s">
        <v>226</v>
      </c>
      <c r="L1742" s="264">
        <v>3128.3950868000002</v>
      </c>
      <c r="M1742" s="264">
        <v>3128.3950868000002</v>
      </c>
      <c r="N1742" s="264">
        <v>3128.3950868000002</v>
      </c>
    </row>
    <row r="1743" spans="1:14" hidden="1">
      <c r="E1743" s="255" t="s">
        <v>192</v>
      </c>
      <c r="L1743" s="264">
        <v>2209.5794023999997</v>
      </c>
      <c r="M1743" s="264">
        <v>2209.5794023999997</v>
      </c>
      <c r="N1743" s="264">
        <v>2209.5794023999997</v>
      </c>
    </row>
    <row r="1744" spans="1:14" ht="30" hidden="1">
      <c r="A1744" s="249" t="s">
        <v>365</v>
      </c>
      <c r="B1744" s="252" t="s">
        <v>366</v>
      </c>
      <c r="C1744" s="249">
        <v>11</v>
      </c>
      <c r="D1744" s="249" t="s">
        <v>100</v>
      </c>
      <c r="E1744" s="255" t="s">
        <v>226</v>
      </c>
      <c r="L1744" s="264">
        <v>451402.31800718891</v>
      </c>
      <c r="M1744" s="264">
        <v>451402.31800718891</v>
      </c>
      <c r="N1744" s="264">
        <v>451402.31800718891</v>
      </c>
    </row>
    <row r="1745" spans="1:14" hidden="1">
      <c r="E1745" s="255" t="s">
        <v>192</v>
      </c>
      <c r="L1745" s="264">
        <v>4438.3256212525685</v>
      </c>
      <c r="M1745" s="264">
        <v>4438.3256212525685</v>
      </c>
      <c r="N1745" s="264">
        <v>4438.3256212525685</v>
      </c>
    </row>
    <row r="1746" spans="1:14" hidden="1">
      <c r="E1746" s="255" t="s">
        <v>209</v>
      </c>
      <c r="L1746" s="264">
        <v>1753.5348994680908</v>
      </c>
      <c r="M1746" s="264">
        <v>1753.5348994680908</v>
      </c>
      <c r="N1746" s="264">
        <v>1753.5348994680908</v>
      </c>
    </row>
    <row r="1747" spans="1:14" hidden="1">
      <c r="E1747" s="255" t="s">
        <v>367</v>
      </c>
      <c r="L1747" s="264">
        <v>36486.570095099938</v>
      </c>
      <c r="M1747" s="264">
        <v>36486.570095099938</v>
      </c>
      <c r="N1747" s="264">
        <v>36486.570095099938</v>
      </c>
    </row>
    <row r="1748" spans="1:14" ht="30" hidden="1">
      <c r="A1748" s="249" t="s">
        <v>415</v>
      </c>
      <c r="B1748" s="252" t="s">
        <v>416</v>
      </c>
      <c r="C1748" s="249">
        <v>51</v>
      </c>
      <c r="D1748" s="249" t="s">
        <v>109</v>
      </c>
      <c r="E1748" s="255" t="s">
        <v>84</v>
      </c>
      <c r="L1748" s="264">
        <v>22789</v>
      </c>
      <c r="M1748" s="264"/>
      <c r="N1748" s="264"/>
    </row>
    <row r="1749" spans="1:14" hidden="1">
      <c r="E1749" s="255" t="s">
        <v>226</v>
      </c>
      <c r="L1749" s="264">
        <v>4482</v>
      </c>
      <c r="M1749" s="264"/>
      <c r="N1749" s="264"/>
    </row>
    <row r="1750" spans="1:14" hidden="1">
      <c r="C1750" s="249">
        <v>52</v>
      </c>
      <c r="D1750" s="249" t="s">
        <v>69</v>
      </c>
      <c r="E1750" s="255" t="s">
        <v>84</v>
      </c>
      <c r="L1750" s="264">
        <v>18490</v>
      </c>
      <c r="M1750" s="264"/>
      <c r="N1750" s="264"/>
    </row>
    <row r="1751" spans="1:14" hidden="1">
      <c r="E1751" s="255" t="s">
        <v>226</v>
      </c>
      <c r="L1751" s="264">
        <v>42796</v>
      </c>
      <c r="M1751" s="264"/>
      <c r="N1751" s="264"/>
    </row>
    <row r="1752" spans="1:14" hidden="1">
      <c r="E1752" s="255" t="s">
        <v>204</v>
      </c>
      <c r="L1752" s="264">
        <v>29035</v>
      </c>
      <c r="M1752" s="264"/>
      <c r="N1752" s="264"/>
    </row>
    <row r="1753" spans="1:14" hidden="1">
      <c r="E1753" s="255" t="s">
        <v>367</v>
      </c>
      <c r="L1753" s="264">
        <v>97225</v>
      </c>
      <c r="M1753" s="264"/>
      <c r="N1753" s="264"/>
    </row>
    <row r="1754" spans="1:14" hidden="1">
      <c r="C1754" s="249">
        <v>61</v>
      </c>
      <c r="D1754" s="249" t="s">
        <v>276</v>
      </c>
      <c r="E1754" s="255" t="s">
        <v>84</v>
      </c>
      <c r="L1754" s="264">
        <v>90567</v>
      </c>
      <c r="M1754" s="264"/>
      <c r="N1754" s="264"/>
    </row>
    <row r="1755" spans="1:14" hidden="1">
      <c r="E1755" s="255" t="s">
        <v>226</v>
      </c>
      <c r="L1755" s="264">
        <v>82331</v>
      </c>
      <c r="M1755" s="264"/>
      <c r="N1755" s="264"/>
    </row>
    <row r="1756" spans="1:14" hidden="1">
      <c r="E1756" s="255" t="s">
        <v>367</v>
      </c>
      <c r="L1756" s="264">
        <v>5311</v>
      </c>
      <c r="M1756" s="264"/>
      <c r="N1756" s="264"/>
    </row>
    <row r="1757" spans="1:14" ht="30" hidden="1">
      <c r="A1757" s="249" t="s">
        <v>417</v>
      </c>
      <c r="B1757" s="252" t="s">
        <v>418</v>
      </c>
      <c r="C1757" s="249">
        <v>31</v>
      </c>
      <c r="D1757" s="249" t="s">
        <v>333</v>
      </c>
      <c r="E1757" s="255" t="s">
        <v>84</v>
      </c>
      <c r="L1757" s="264">
        <v>90790</v>
      </c>
      <c r="M1757" s="264">
        <v>75328</v>
      </c>
      <c r="N1757" s="264">
        <v>75328</v>
      </c>
    </row>
    <row r="1758" spans="1:14" hidden="1">
      <c r="E1758" s="255" t="s">
        <v>226</v>
      </c>
      <c r="L1758" s="264">
        <v>752047</v>
      </c>
      <c r="M1758" s="264">
        <v>597917</v>
      </c>
      <c r="N1758" s="264">
        <v>615695</v>
      </c>
    </row>
    <row r="1759" spans="1:14" hidden="1">
      <c r="E1759" s="255" t="s">
        <v>192</v>
      </c>
      <c r="L1759" s="264">
        <v>558</v>
      </c>
      <c r="M1759" s="264">
        <v>558</v>
      </c>
      <c r="N1759" s="264">
        <v>558</v>
      </c>
    </row>
    <row r="1760" spans="1:14" hidden="1">
      <c r="E1760" s="255" t="s">
        <v>215</v>
      </c>
      <c r="L1760" s="264">
        <v>2654</v>
      </c>
      <c r="M1760" s="264">
        <v>1991</v>
      </c>
      <c r="N1760" s="264">
        <v>1991</v>
      </c>
    </row>
    <row r="1761" spans="1:14" hidden="1">
      <c r="E1761" s="255" t="s">
        <v>367</v>
      </c>
      <c r="L1761" s="264">
        <v>12735</v>
      </c>
      <c r="M1761" s="264">
        <v>8760</v>
      </c>
      <c r="N1761" s="264">
        <v>8760</v>
      </c>
    </row>
    <row r="1762" spans="1:14" hidden="1">
      <c r="C1762" s="249">
        <v>43</v>
      </c>
      <c r="D1762" s="249" t="s">
        <v>104</v>
      </c>
      <c r="E1762" s="255" t="s">
        <v>84</v>
      </c>
      <c r="L1762" s="264">
        <v>7731</v>
      </c>
      <c r="M1762" s="264">
        <v>7731</v>
      </c>
      <c r="N1762" s="264">
        <v>7731</v>
      </c>
    </row>
    <row r="1763" spans="1:14" hidden="1">
      <c r="E1763" s="255" t="s">
        <v>226</v>
      </c>
      <c r="L1763" s="264">
        <v>291991</v>
      </c>
      <c r="M1763" s="264">
        <v>291991</v>
      </c>
      <c r="N1763" s="264">
        <v>289913</v>
      </c>
    </row>
    <row r="1764" spans="1:14" hidden="1">
      <c r="E1764" s="255" t="s">
        <v>192</v>
      </c>
      <c r="L1764" s="264">
        <v>53</v>
      </c>
      <c r="M1764" s="264">
        <v>53</v>
      </c>
      <c r="N1764" s="264">
        <v>13</v>
      </c>
    </row>
    <row r="1765" spans="1:14" hidden="1">
      <c r="E1765" s="255" t="s">
        <v>367</v>
      </c>
      <c r="L1765" s="264">
        <v>11281</v>
      </c>
      <c r="M1765" s="264">
        <v>11281</v>
      </c>
      <c r="N1765" s="264">
        <v>11281</v>
      </c>
    </row>
    <row r="1766" spans="1:14" hidden="1">
      <c r="C1766" s="249">
        <v>52</v>
      </c>
      <c r="D1766" s="249" t="s">
        <v>69</v>
      </c>
      <c r="E1766" s="255" t="s">
        <v>84</v>
      </c>
      <c r="L1766" s="264">
        <v>105525</v>
      </c>
      <c r="M1766" s="264">
        <v>59858</v>
      </c>
      <c r="N1766" s="264">
        <v>18853</v>
      </c>
    </row>
    <row r="1767" spans="1:14" hidden="1">
      <c r="E1767" s="255" t="s">
        <v>226</v>
      </c>
      <c r="L1767" s="264">
        <v>64799</v>
      </c>
      <c r="M1767" s="264">
        <v>24462</v>
      </c>
      <c r="N1767" s="264">
        <v>23395</v>
      </c>
    </row>
    <row r="1768" spans="1:14" hidden="1">
      <c r="E1768" s="255" t="s">
        <v>209</v>
      </c>
      <c r="L1768" s="264">
        <v>4778</v>
      </c>
      <c r="M1768" s="264">
        <v>4777</v>
      </c>
      <c r="N1768" s="264"/>
    </row>
    <row r="1769" spans="1:14" hidden="1">
      <c r="E1769" s="255" t="s">
        <v>367</v>
      </c>
      <c r="L1769" s="264">
        <v>2322</v>
      </c>
      <c r="M1769" s="264">
        <v>1460</v>
      </c>
      <c r="N1769" s="264">
        <v>664</v>
      </c>
    </row>
    <row r="1770" spans="1:14" hidden="1">
      <c r="C1770" s="249">
        <v>61</v>
      </c>
      <c r="D1770" s="249" t="s">
        <v>276</v>
      </c>
      <c r="E1770" s="255" t="s">
        <v>226</v>
      </c>
      <c r="L1770" s="264">
        <v>5309</v>
      </c>
      <c r="M1770" s="264">
        <v>5309</v>
      </c>
      <c r="N1770" s="264">
        <v>5309</v>
      </c>
    </row>
    <row r="1771" spans="1:14" hidden="1">
      <c r="C1771" s="249">
        <v>71</v>
      </c>
      <c r="D1771" s="249" t="s">
        <v>387</v>
      </c>
      <c r="E1771" s="255" t="s">
        <v>226</v>
      </c>
      <c r="L1771" s="264">
        <v>265</v>
      </c>
      <c r="M1771" s="264">
        <v>265</v>
      </c>
      <c r="N1771" s="264">
        <v>265</v>
      </c>
    </row>
    <row r="1772" spans="1:14" ht="30" hidden="1">
      <c r="A1772" s="249" t="s">
        <v>372</v>
      </c>
      <c r="B1772" s="252" t="s">
        <v>373</v>
      </c>
      <c r="C1772" s="249">
        <v>563</v>
      </c>
      <c r="D1772" s="249" t="s">
        <v>374</v>
      </c>
      <c r="E1772" s="255" t="s">
        <v>84</v>
      </c>
      <c r="L1772" s="264">
        <v>61849</v>
      </c>
      <c r="M1772" s="264"/>
      <c r="N1772" s="264"/>
    </row>
    <row r="1773" spans="1:14" hidden="1">
      <c r="E1773" s="255" t="s">
        <v>226</v>
      </c>
      <c r="L1773" s="264">
        <v>126856</v>
      </c>
      <c r="M1773" s="264"/>
      <c r="N1773" s="264"/>
    </row>
    <row r="1774" spans="1:14" hidden="1">
      <c r="E1774" s="255" t="s">
        <v>204</v>
      </c>
      <c r="L1774" s="264">
        <v>99807</v>
      </c>
      <c r="M1774" s="264"/>
      <c r="N1774" s="264"/>
    </row>
    <row r="1775" spans="1:14" ht="30" hidden="1">
      <c r="A1775" s="249" t="s">
        <v>388</v>
      </c>
      <c r="B1775" s="252" t="s">
        <v>389</v>
      </c>
      <c r="C1775" s="249">
        <v>12</v>
      </c>
      <c r="D1775" s="249" t="s">
        <v>102</v>
      </c>
      <c r="E1775" s="255" t="s">
        <v>84</v>
      </c>
      <c r="L1775" s="264">
        <v>711.68453334743185</v>
      </c>
      <c r="M1775" s="264"/>
      <c r="N1775" s="264"/>
    </row>
    <row r="1776" spans="1:14" hidden="1">
      <c r="E1776" s="255" t="s">
        <v>226</v>
      </c>
      <c r="L1776" s="264">
        <v>6570.3179137326388</v>
      </c>
      <c r="M1776" s="264"/>
      <c r="N1776" s="264"/>
    </row>
    <row r="1777" spans="1:14" hidden="1">
      <c r="E1777" s="255" t="s">
        <v>204</v>
      </c>
      <c r="L1777" s="264">
        <v>548.59446747141567</v>
      </c>
      <c r="M1777" s="264"/>
      <c r="N1777" s="264"/>
    </row>
    <row r="1778" spans="1:14" hidden="1">
      <c r="E1778" s="255" t="s">
        <v>367</v>
      </c>
      <c r="L1778" s="264">
        <v>13717.342144061073</v>
      </c>
      <c r="M1778" s="264"/>
      <c r="N1778" s="264"/>
    </row>
    <row r="1779" spans="1:14" hidden="1">
      <c r="C1779" s="249">
        <v>561</v>
      </c>
      <c r="D1779" s="249" t="s">
        <v>390</v>
      </c>
      <c r="E1779" s="255" t="s">
        <v>84</v>
      </c>
      <c r="L1779" s="264">
        <v>4032.8790223021142</v>
      </c>
      <c r="M1779" s="264">
        <v>0</v>
      </c>
      <c r="N1779" s="264">
        <v>0</v>
      </c>
    </row>
    <row r="1780" spans="1:14" hidden="1">
      <c r="E1780" s="255" t="s">
        <v>226</v>
      </c>
      <c r="L1780" s="264">
        <v>37231.8015111516</v>
      </c>
      <c r="M1780" s="264"/>
      <c r="N1780" s="264"/>
    </row>
    <row r="1781" spans="1:14" hidden="1">
      <c r="E1781" s="255" t="s">
        <v>204</v>
      </c>
      <c r="L1781" s="264">
        <v>3108.7019823380224</v>
      </c>
      <c r="M1781" s="264"/>
      <c r="N1781" s="264"/>
    </row>
    <row r="1782" spans="1:14" hidden="1">
      <c r="E1782" s="255" t="s">
        <v>367</v>
      </c>
      <c r="L1782" s="264">
        <v>77731.605483012754</v>
      </c>
      <c r="M1782" s="264"/>
      <c r="N1782" s="264"/>
    </row>
    <row r="1783" spans="1:14" ht="30" hidden="1">
      <c r="A1783" s="249" t="s">
        <v>413</v>
      </c>
      <c r="B1783" s="252" t="s">
        <v>414</v>
      </c>
      <c r="C1783" s="249">
        <v>11</v>
      </c>
      <c r="D1783" s="249" t="s">
        <v>100</v>
      </c>
      <c r="E1783" s="255" t="s">
        <v>84</v>
      </c>
      <c r="L1783" s="264">
        <v>3252862.3007980222</v>
      </c>
      <c r="M1783" s="264">
        <v>3268418.9558027335</v>
      </c>
      <c r="N1783" s="264">
        <v>3284048.5405335887</v>
      </c>
    </row>
    <row r="1784" spans="1:14" hidden="1">
      <c r="E1784" s="255" t="s">
        <v>226</v>
      </c>
      <c r="L1784" s="264">
        <v>51849.318167427307</v>
      </c>
      <c r="M1784" s="264">
        <v>52097.284997982148</v>
      </c>
      <c r="N1784" s="264">
        <v>52346.414299070631</v>
      </c>
    </row>
    <row r="1785" spans="1:14" hidden="1">
      <c r="A1785" s="249" t="s">
        <v>383</v>
      </c>
      <c r="B1785" s="252" t="s">
        <v>384</v>
      </c>
      <c r="C1785" s="249">
        <v>11</v>
      </c>
      <c r="D1785" s="249" t="s">
        <v>100</v>
      </c>
      <c r="E1785" s="255" t="s">
        <v>84</v>
      </c>
      <c r="L1785" s="264">
        <v>4052.4128415999999</v>
      </c>
      <c r="M1785" s="264">
        <v>4052.4128415999999</v>
      </c>
      <c r="N1785" s="264">
        <v>4052.4128415999999</v>
      </c>
    </row>
    <row r="1786" spans="1:14" hidden="1">
      <c r="E1786" s="255" t="s">
        <v>226</v>
      </c>
      <c r="L1786" s="264">
        <v>1809.6702404</v>
      </c>
      <c r="M1786" s="264">
        <v>1809.6702404</v>
      </c>
      <c r="N1786" s="264">
        <v>1809.6702404</v>
      </c>
    </row>
    <row r="1787" spans="1:14" hidden="1">
      <c r="E1787" s="255" t="s">
        <v>192</v>
      </c>
      <c r="L1787" s="264">
        <v>1264.1031072000001</v>
      </c>
      <c r="M1787" s="264">
        <v>1264.1031072000001</v>
      </c>
      <c r="N1787" s="264">
        <v>1264.1031072000001</v>
      </c>
    </row>
    <row r="1788" spans="1:14" ht="30" hidden="1">
      <c r="A1788" s="249" t="s">
        <v>365</v>
      </c>
      <c r="B1788" s="252" t="s">
        <v>366</v>
      </c>
      <c r="C1788" s="249">
        <v>11</v>
      </c>
      <c r="D1788" s="249" t="s">
        <v>100</v>
      </c>
      <c r="E1788" s="255" t="s">
        <v>226</v>
      </c>
      <c r="L1788" s="264">
        <v>237868.16492681042</v>
      </c>
      <c r="M1788" s="264">
        <v>237868.16492681042</v>
      </c>
      <c r="N1788" s="264">
        <v>237868.16492681042</v>
      </c>
    </row>
    <row r="1789" spans="1:14" hidden="1">
      <c r="E1789" s="255" t="s">
        <v>192</v>
      </c>
      <c r="L1789" s="264">
        <v>54.48837258234181</v>
      </c>
      <c r="M1789" s="264">
        <v>54.48837258234181</v>
      </c>
      <c r="N1789" s="264">
        <v>54.48837258234181</v>
      </c>
    </row>
    <row r="1790" spans="1:14" hidden="1">
      <c r="E1790" s="255" t="s">
        <v>367</v>
      </c>
      <c r="L1790" s="264">
        <v>69924.268069797035</v>
      </c>
      <c r="M1790" s="264">
        <v>69924.268069797035</v>
      </c>
      <c r="N1790" s="264">
        <v>69924.268069797035</v>
      </c>
    </row>
    <row r="1791" spans="1:14" ht="30" hidden="1">
      <c r="A1791" s="249" t="s">
        <v>415</v>
      </c>
      <c r="B1791" s="252" t="s">
        <v>416</v>
      </c>
      <c r="C1791" s="249">
        <v>52</v>
      </c>
      <c r="D1791" s="249" t="s">
        <v>69</v>
      </c>
      <c r="E1791" s="255" t="s">
        <v>226</v>
      </c>
      <c r="L1791" s="264">
        <v>25704</v>
      </c>
      <c r="M1791" s="264">
        <v>18671</v>
      </c>
      <c r="N1791" s="264">
        <v>4588</v>
      </c>
    </row>
    <row r="1792" spans="1:14" hidden="1">
      <c r="E1792" s="255" t="s">
        <v>367</v>
      </c>
      <c r="L1792" s="264">
        <v>8851</v>
      </c>
      <c r="M1792" s="264">
        <v>8851</v>
      </c>
      <c r="N1792" s="264"/>
    </row>
    <row r="1793" spans="1:14" ht="30" hidden="1">
      <c r="A1793" s="249" t="s">
        <v>417</v>
      </c>
      <c r="B1793" s="252" t="s">
        <v>418</v>
      </c>
      <c r="C1793" s="249">
        <v>31</v>
      </c>
      <c r="D1793" s="249" t="s">
        <v>333</v>
      </c>
      <c r="E1793" s="255" t="s">
        <v>84</v>
      </c>
      <c r="L1793" s="264">
        <v>8303</v>
      </c>
      <c r="M1793" s="264">
        <v>8303</v>
      </c>
      <c r="N1793" s="264">
        <v>8303</v>
      </c>
    </row>
    <row r="1794" spans="1:14" hidden="1">
      <c r="E1794" s="255" t="s">
        <v>226</v>
      </c>
      <c r="L1794" s="264">
        <v>11413</v>
      </c>
      <c r="M1794" s="264">
        <v>11413</v>
      </c>
      <c r="N1794" s="264">
        <v>11413</v>
      </c>
    </row>
    <row r="1795" spans="1:14" hidden="1">
      <c r="E1795" s="255" t="s">
        <v>192</v>
      </c>
      <c r="L1795" s="264">
        <v>66</v>
      </c>
      <c r="M1795" s="264">
        <v>66</v>
      </c>
      <c r="N1795" s="264">
        <v>66</v>
      </c>
    </row>
    <row r="1796" spans="1:14" hidden="1">
      <c r="E1796" s="255" t="s">
        <v>367</v>
      </c>
      <c r="L1796" s="264">
        <v>10485</v>
      </c>
      <c r="M1796" s="264">
        <v>10485</v>
      </c>
      <c r="N1796" s="264">
        <v>10485</v>
      </c>
    </row>
    <row r="1797" spans="1:14" hidden="1">
      <c r="C1797" s="249">
        <v>43</v>
      </c>
      <c r="D1797" s="249" t="s">
        <v>104</v>
      </c>
      <c r="E1797" s="255" t="s">
        <v>84</v>
      </c>
      <c r="L1797" s="264">
        <v>22218</v>
      </c>
      <c r="M1797" s="264">
        <v>22218</v>
      </c>
      <c r="N1797" s="264">
        <v>22218</v>
      </c>
    </row>
    <row r="1798" spans="1:14" hidden="1">
      <c r="E1798" s="255" t="s">
        <v>226</v>
      </c>
      <c r="L1798" s="264">
        <v>86150</v>
      </c>
      <c r="M1798" s="264">
        <v>86150</v>
      </c>
      <c r="N1798" s="264">
        <v>86150</v>
      </c>
    </row>
    <row r="1799" spans="1:14" hidden="1">
      <c r="E1799" s="255" t="s">
        <v>192</v>
      </c>
      <c r="L1799" s="264">
        <v>1128</v>
      </c>
      <c r="M1799" s="264">
        <v>1128</v>
      </c>
      <c r="N1799" s="264">
        <v>1128</v>
      </c>
    </row>
    <row r="1800" spans="1:14" hidden="1">
      <c r="E1800" s="255" t="s">
        <v>367</v>
      </c>
      <c r="L1800" s="264">
        <v>22563</v>
      </c>
      <c r="M1800" s="264">
        <v>22563</v>
      </c>
      <c r="N1800" s="264">
        <v>22563</v>
      </c>
    </row>
    <row r="1801" spans="1:14" hidden="1">
      <c r="C1801" s="249">
        <v>52</v>
      </c>
      <c r="D1801" s="249" t="s">
        <v>69</v>
      </c>
      <c r="E1801" s="255" t="s">
        <v>226</v>
      </c>
      <c r="L1801" s="264">
        <v>36897</v>
      </c>
      <c r="M1801" s="264">
        <v>36897</v>
      </c>
      <c r="N1801" s="264">
        <v>36897</v>
      </c>
    </row>
    <row r="1802" spans="1:14" hidden="1">
      <c r="E1802" s="255" t="s">
        <v>367</v>
      </c>
      <c r="L1802" s="264">
        <v>2654</v>
      </c>
      <c r="M1802" s="264">
        <v>2654</v>
      </c>
      <c r="N1802" s="264">
        <v>2654</v>
      </c>
    </row>
    <row r="1803" spans="1:14" hidden="1">
      <c r="C1803" s="249">
        <v>61</v>
      </c>
      <c r="D1803" s="249" t="s">
        <v>276</v>
      </c>
      <c r="E1803" s="255" t="s">
        <v>226</v>
      </c>
      <c r="L1803" s="264">
        <v>2654</v>
      </c>
      <c r="M1803" s="264">
        <v>2654</v>
      </c>
      <c r="N1803" s="264">
        <v>2654</v>
      </c>
    </row>
    <row r="1804" spans="1:14" hidden="1">
      <c r="C1804" s="249">
        <v>71</v>
      </c>
      <c r="D1804" s="249" t="s">
        <v>387</v>
      </c>
      <c r="E1804" s="255" t="s">
        <v>367</v>
      </c>
      <c r="L1804" s="264">
        <v>133</v>
      </c>
      <c r="M1804" s="264">
        <v>133</v>
      </c>
      <c r="N1804" s="264">
        <v>133</v>
      </c>
    </row>
    <row r="1805" spans="1:14" ht="30" hidden="1">
      <c r="A1805" s="249" t="s">
        <v>413</v>
      </c>
      <c r="B1805" s="252" t="s">
        <v>414</v>
      </c>
      <c r="C1805" s="249">
        <v>11</v>
      </c>
      <c r="D1805" s="249" t="s">
        <v>100</v>
      </c>
      <c r="E1805" s="255" t="s">
        <v>84</v>
      </c>
      <c r="L1805" s="264">
        <v>4254533.0650533568</v>
      </c>
      <c r="M1805" s="264">
        <v>4274880.1615421735</v>
      </c>
      <c r="N1805" s="264">
        <v>4295322.6453860682</v>
      </c>
    </row>
    <row r="1806" spans="1:14" hidden="1">
      <c r="E1806" s="255" t="s">
        <v>226</v>
      </c>
      <c r="L1806" s="264">
        <v>78062.520742478984</v>
      </c>
      <c r="M1806" s="264">
        <v>78435.850933459078</v>
      </c>
      <c r="N1806" s="264">
        <v>78810.931299433811</v>
      </c>
    </row>
    <row r="1807" spans="1:14" hidden="1">
      <c r="A1807" s="249" t="s">
        <v>383</v>
      </c>
      <c r="B1807" s="252" t="s">
        <v>384</v>
      </c>
      <c r="C1807" s="249">
        <v>11</v>
      </c>
      <c r="D1807" s="249" t="s">
        <v>100</v>
      </c>
      <c r="E1807" s="255" t="s">
        <v>84</v>
      </c>
      <c r="L1807" s="264">
        <v>9930.7523935999998</v>
      </c>
      <c r="M1807" s="264">
        <v>9930.7523935999998</v>
      </c>
      <c r="N1807" s="264">
        <v>9930.7523935999998</v>
      </c>
    </row>
    <row r="1808" spans="1:14" hidden="1">
      <c r="E1808" s="255" t="s">
        <v>226</v>
      </c>
      <c r="L1808" s="264">
        <v>2181.6182739999999</v>
      </c>
      <c r="M1808" s="264">
        <v>2181.6182739999999</v>
      </c>
      <c r="N1808" s="264">
        <v>2181.6182739999999</v>
      </c>
    </row>
    <row r="1809" spans="1:14" hidden="1">
      <c r="E1809" s="255" t="s">
        <v>192</v>
      </c>
      <c r="L1809" s="264">
        <v>1455.9294532000001</v>
      </c>
      <c r="M1809" s="264">
        <v>1455.9294532000001</v>
      </c>
      <c r="N1809" s="264">
        <v>1455.9294532000001</v>
      </c>
    </row>
    <row r="1810" spans="1:14" ht="30" hidden="1">
      <c r="A1810" s="249" t="s">
        <v>365</v>
      </c>
      <c r="B1810" s="252" t="s">
        <v>366</v>
      </c>
      <c r="C1810" s="249">
        <v>11</v>
      </c>
      <c r="D1810" s="249" t="s">
        <v>100</v>
      </c>
      <c r="E1810" s="255" t="s">
        <v>84</v>
      </c>
      <c r="L1810" s="264">
        <v>15388.837347497747</v>
      </c>
      <c r="M1810" s="264">
        <v>15388.837347497747</v>
      </c>
      <c r="N1810" s="264">
        <v>15388.837347497747</v>
      </c>
    </row>
    <row r="1811" spans="1:14" hidden="1">
      <c r="E1811" s="255" t="s">
        <v>226</v>
      </c>
      <c r="L1811" s="264">
        <v>509180.63247953996</v>
      </c>
      <c r="M1811" s="264">
        <v>509180.63247953996</v>
      </c>
      <c r="N1811" s="264">
        <v>509180.63247953996</v>
      </c>
    </row>
    <row r="1812" spans="1:14" hidden="1">
      <c r="E1812" s="255" t="s">
        <v>192</v>
      </c>
      <c r="L1812" s="264">
        <v>2394.1860680119885</v>
      </c>
      <c r="M1812" s="264">
        <v>2394.1860680119885</v>
      </c>
      <c r="N1812" s="264">
        <v>2394.1860680119885</v>
      </c>
    </row>
    <row r="1813" spans="1:14" hidden="1">
      <c r="E1813" s="255" t="s">
        <v>367</v>
      </c>
      <c r="L1813" s="264">
        <v>46736.163210399543</v>
      </c>
      <c r="M1813" s="264">
        <v>46736.163210399543</v>
      </c>
      <c r="N1813" s="264">
        <v>46736.163210399543</v>
      </c>
    </row>
    <row r="1814" spans="1:14" hidden="1">
      <c r="E1814" s="255" t="s">
        <v>322</v>
      </c>
      <c r="L1814" s="264">
        <v>20426.535067156074</v>
      </c>
      <c r="M1814" s="264">
        <v>20426.535067156074</v>
      </c>
      <c r="N1814" s="264">
        <v>20426.535067156074</v>
      </c>
    </row>
    <row r="1815" spans="1:14" ht="30" hidden="1">
      <c r="A1815" s="249" t="s">
        <v>415</v>
      </c>
      <c r="B1815" s="252" t="s">
        <v>416</v>
      </c>
      <c r="C1815" s="249">
        <v>51</v>
      </c>
      <c r="D1815" s="249" t="s">
        <v>109</v>
      </c>
      <c r="E1815" s="255" t="s">
        <v>84</v>
      </c>
      <c r="L1815" s="264">
        <v>103020</v>
      </c>
      <c r="M1815" s="264">
        <v>68316</v>
      </c>
      <c r="N1815" s="264">
        <v>17749</v>
      </c>
    </row>
    <row r="1816" spans="1:14" hidden="1">
      <c r="E1816" s="255" t="s">
        <v>226</v>
      </c>
      <c r="L1816" s="264">
        <v>68400</v>
      </c>
      <c r="M1816" s="264">
        <v>57842</v>
      </c>
      <c r="N1816" s="264">
        <v>23051</v>
      </c>
    </row>
    <row r="1817" spans="1:14" hidden="1">
      <c r="E1817" s="255" t="s">
        <v>367</v>
      </c>
      <c r="L1817" s="264">
        <v>5838</v>
      </c>
      <c r="M1817" s="264">
        <v>0</v>
      </c>
      <c r="N1817" s="264">
        <v>0</v>
      </c>
    </row>
    <row r="1818" spans="1:14" ht="30" hidden="1">
      <c r="A1818" s="249" t="s">
        <v>417</v>
      </c>
      <c r="B1818" s="252" t="s">
        <v>418</v>
      </c>
      <c r="C1818" s="249">
        <v>31</v>
      </c>
      <c r="D1818" s="249" t="s">
        <v>333</v>
      </c>
      <c r="E1818" s="255" t="s">
        <v>84</v>
      </c>
      <c r="L1818" s="264">
        <v>145159</v>
      </c>
      <c r="M1818" s="264">
        <v>145159</v>
      </c>
      <c r="N1818" s="264">
        <v>145159</v>
      </c>
    </row>
    <row r="1819" spans="1:14" hidden="1">
      <c r="E1819" s="255" t="s">
        <v>226</v>
      </c>
      <c r="L1819" s="264">
        <v>103261</v>
      </c>
      <c r="M1819" s="264">
        <v>103261</v>
      </c>
      <c r="N1819" s="264">
        <v>103261</v>
      </c>
    </row>
    <row r="1820" spans="1:14" hidden="1">
      <c r="E1820" s="255" t="s">
        <v>192</v>
      </c>
      <c r="L1820" s="264">
        <v>352</v>
      </c>
      <c r="M1820" s="264">
        <v>352</v>
      </c>
      <c r="N1820" s="264">
        <v>352</v>
      </c>
    </row>
    <row r="1821" spans="1:14" hidden="1">
      <c r="E1821" s="255" t="s">
        <v>215</v>
      </c>
      <c r="L1821" s="264">
        <v>1327</v>
      </c>
      <c r="M1821" s="264">
        <v>1327</v>
      </c>
      <c r="N1821" s="264">
        <v>1327</v>
      </c>
    </row>
    <row r="1822" spans="1:14" hidden="1">
      <c r="E1822" s="255" t="s">
        <v>367</v>
      </c>
      <c r="L1822" s="264">
        <v>7963</v>
      </c>
      <c r="M1822" s="264">
        <v>7963</v>
      </c>
      <c r="N1822" s="264">
        <v>7963</v>
      </c>
    </row>
    <row r="1823" spans="1:14" hidden="1">
      <c r="C1823" s="249">
        <v>43</v>
      </c>
      <c r="D1823" s="249" t="s">
        <v>104</v>
      </c>
      <c r="E1823" s="255" t="s">
        <v>84</v>
      </c>
      <c r="L1823" s="264">
        <v>509919</v>
      </c>
      <c r="M1823" s="264">
        <v>509919</v>
      </c>
      <c r="N1823" s="264">
        <v>509919</v>
      </c>
    </row>
    <row r="1824" spans="1:14" hidden="1">
      <c r="E1824" s="255" t="s">
        <v>226</v>
      </c>
      <c r="L1824" s="264">
        <v>234957</v>
      </c>
      <c r="M1824" s="264">
        <v>234957</v>
      </c>
      <c r="N1824" s="264">
        <v>234957</v>
      </c>
    </row>
    <row r="1825" spans="1:14" hidden="1">
      <c r="E1825" s="255" t="s">
        <v>192</v>
      </c>
      <c r="L1825" s="264">
        <v>2900</v>
      </c>
      <c r="M1825" s="264">
        <v>2900</v>
      </c>
      <c r="N1825" s="264">
        <v>2900</v>
      </c>
    </row>
    <row r="1826" spans="1:14" hidden="1">
      <c r="E1826" s="255" t="s">
        <v>209</v>
      </c>
      <c r="L1826" s="264">
        <v>11680</v>
      </c>
      <c r="M1826" s="264">
        <v>11680</v>
      </c>
      <c r="N1826" s="264">
        <v>11680</v>
      </c>
    </row>
    <row r="1827" spans="1:14" hidden="1">
      <c r="E1827" s="255" t="s">
        <v>367</v>
      </c>
      <c r="L1827" s="264">
        <v>11879</v>
      </c>
      <c r="M1827" s="264">
        <v>11879</v>
      </c>
      <c r="N1827" s="264">
        <v>11879</v>
      </c>
    </row>
    <row r="1828" spans="1:14" hidden="1">
      <c r="C1828" s="249">
        <v>52</v>
      </c>
      <c r="D1828" s="249" t="s">
        <v>69</v>
      </c>
      <c r="E1828" s="255" t="s">
        <v>84</v>
      </c>
      <c r="L1828" s="264">
        <v>26974</v>
      </c>
      <c r="M1828" s="264">
        <v>19023</v>
      </c>
      <c r="N1828" s="264">
        <v>1586</v>
      </c>
    </row>
    <row r="1829" spans="1:14" hidden="1">
      <c r="E1829" s="255" t="s">
        <v>226</v>
      </c>
      <c r="L1829" s="264">
        <v>275839</v>
      </c>
      <c r="M1829" s="264">
        <v>68693</v>
      </c>
      <c r="N1829" s="264">
        <v>10912</v>
      </c>
    </row>
    <row r="1830" spans="1:14" hidden="1">
      <c r="E1830" s="255" t="s">
        <v>367</v>
      </c>
      <c r="L1830" s="264">
        <v>7960</v>
      </c>
      <c r="M1830" s="264">
        <v>0</v>
      </c>
      <c r="N1830" s="264">
        <v>0</v>
      </c>
    </row>
    <row r="1831" spans="1:14" hidden="1">
      <c r="C1831" s="249">
        <v>61</v>
      </c>
      <c r="D1831" s="249" t="s">
        <v>276</v>
      </c>
      <c r="E1831" s="255" t="s">
        <v>367</v>
      </c>
      <c r="L1831" s="264">
        <v>14533</v>
      </c>
      <c r="M1831" s="264">
        <v>14533</v>
      </c>
      <c r="N1831" s="264">
        <v>0</v>
      </c>
    </row>
    <row r="1832" spans="1:14" hidden="1">
      <c r="C1832" s="249">
        <v>71</v>
      </c>
      <c r="D1832" s="249" t="s">
        <v>387</v>
      </c>
      <c r="E1832" s="255" t="s">
        <v>322</v>
      </c>
      <c r="L1832" s="264">
        <v>459</v>
      </c>
      <c r="M1832" s="264">
        <v>459</v>
      </c>
      <c r="N1832" s="264">
        <v>459</v>
      </c>
    </row>
    <row r="1833" spans="1:14" ht="30" hidden="1">
      <c r="A1833" s="249" t="s">
        <v>381</v>
      </c>
      <c r="B1833" s="252" t="s">
        <v>382</v>
      </c>
      <c r="C1833" s="249">
        <v>11</v>
      </c>
      <c r="D1833" s="249" t="s">
        <v>100</v>
      </c>
      <c r="E1833" s="255" t="s">
        <v>226</v>
      </c>
      <c r="L1833" s="264">
        <v>67266</v>
      </c>
      <c r="M1833" s="264">
        <v>67266</v>
      </c>
      <c r="N1833" s="264">
        <v>67266</v>
      </c>
    </row>
    <row r="1834" spans="1:14" ht="30" hidden="1">
      <c r="A1834" s="249" t="s">
        <v>426</v>
      </c>
      <c r="B1834" s="252" t="s">
        <v>427</v>
      </c>
      <c r="C1834" s="249">
        <v>11</v>
      </c>
      <c r="D1834" s="249" t="s">
        <v>100</v>
      </c>
      <c r="E1834" s="255" t="s">
        <v>84</v>
      </c>
      <c r="L1834" s="264">
        <v>18737455.051506501</v>
      </c>
      <c r="M1834" s="264">
        <v>18823521.631586239</v>
      </c>
      <c r="N1834" s="264">
        <v>18909992.04479083</v>
      </c>
    </row>
    <row r="1835" spans="1:14" hidden="1">
      <c r="E1835" s="255" t="s">
        <v>226</v>
      </c>
      <c r="L1835" s="264">
        <v>304232.70798006852</v>
      </c>
      <c r="M1835" s="264">
        <v>305630.13728155399</v>
      </c>
      <c r="N1835" s="264">
        <v>307034.12346308574</v>
      </c>
    </row>
    <row r="1836" spans="1:14" hidden="1">
      <c r="E1836" s="255" t="s">
        <v>215</v>
      </c>
      <c r="L1836" s="264">
        <v>770687.24051343079</v>
      </c>
      <c r="M1836" s="264">
        <v>774227.23113220744</v>
      </c>
      <c r="N1836" s="264">
        <v>777783.83174608543</v>
      </c>
    </row>
    <row r="1837" spans="1:14" hidden="1">
      <c r="C1837" s="249">
        <v>12</v>
      </c>
      <c r="D1837" s="249" t="s">
        <v>395</v>
      </c>
      <c r="E1837" s="255" t="s">
        <v>322</v>
      </c>
      <c r="L1837" s="264">
        <v>1990842</v>
      </c>
      <c r="M1837" s="264"/>
      <c r="N1837" s="264"/>
    </row>
    <row r="1838" spans="1:14" hidden="1">
      <c r="A1838" s="249" t="s">
        <v>383</v>
      </c>
      <c r="B1838" s="252" t="s">
        <v>384</v>
      </c>
      <c r="C1838" s="249">
        <v>11</v>
      </c>
      <c r="D1838" s="249" t="s">
        <v>100</v>
      </c>
      <c r="E1838" s="255" t="s">
        <v>84</v>
      </c>
      <c r="L1838" s="264">
        <v>85104.571226400003</v>
      </c>
      <c r="M1838" s="264">
        <v>85104.571226400003</v>
      </c>
      <c r="N1838" s="264">
        <v>85104.571226400003</v>
      </c>
    </row>
    <row r="1839" spans="1:14" ht="30" hidden="1">
      <c r="A1839" s="249" t="s">
        <v>365</v>
      </c>
      <c r="B1839" s="252" t="s">
        <v>366</v>
      </c>
      <c r="C1839" s="249">
        <v>11</v>
      </c>
      <c r="D1839" s="249" t="s">
        <v>100</v>
      </c>
      <c r="E1839" s="255" t="s">
        <v>84</v>
      </c>
      <c r="L1839" s="264">
        <v>247674.5263007645</v>
      </c>
      <c r="M1839" s="264">
        <v>247674.5263007645</v>
      </c>
      <c r="N1839" s="264">
        <v>247674.5263007645</v>
      </c>
    </row>
    <row r="1840" spans="1:14" hidden="1">
      <c r="E1840" s="255" t="s">
        <v>226</v>
      </c>
      <c r="L1840" s="264">
        <v>1188809.2564658544</v>
      </c>
      <c r="M1840" s="264">
        <v>1188809.2564658544</v>
      </c>
      <c r="N1840" s="264">
        <v>1188809.2564658544</v>
      </c>
    </row>
    <row r="1841" spans="1:14" hidden="1">
      <c r="E1841" s="255" t="s">
        <v>192</v>
      </c>
      <c r="L1841" s="264">
        <v>21038.11757017576</v>
      </c>
      <c r="M1841" s="264">
        <v>21038.11757017576</v>
      </c>
      <c r="N1841" s="264">
        <v>21038.11757017576</v>
      </c>
    </row>
    <row r="1842" spans="1:14" hidden="1">
      <c r="E1842" s="255" t="s">
        <v>209</v>
      </c>
      <c r="L1842" s="264">
        <v>85467.352628839013</v>
      </c>
      <c r="M1842" s="264">
        <v>85467.352628839013</v>
      </c>
      <c r="N1842" s="264">
        <v>85467.352628839013</v>
      </c>
    </row>
    <row r="1843" spans="1:14" hidden="1">
      <c r="E1843" s="255" t="s">
        <v>283</v>
      </c>
      <c r="L1843" s="264">
        <v>13148.823481359848</v>
      </c>
      <c r="M1843" s="264">
        <v>13148.823481359848</v>
      </c>
      <c r="N1843" s="264">
        <v>13148.823481359848</v>
      </c>
    </row>
    <row r="1844" spans="1:14" hidden="1">
      <c r="E1844" s="255" t="s">
        <v>367</v>
      </c>
      <c r="L1844" s="264">
        <v>126258.51851554854</v>
      </c>
      <c r="M1844" s="264">
        <v>126258.51851554854</v>
      </c>
      <c r="N1844" s="264">
        <v>126258.51851554854</v>
      </c>
    </row>
    <row r="1845" spans="1:14" ht="30" hidden="1">
      <c r="A1845" s="249" t="s">
        <v>428</v>
      </c>
      <c r="B1845" s="252" t="s">
        <v>429</v>
      </c>
      <c r="C1845" s="249">
        <v>51</v>
      </c>
      <c r="D1845" s="249" t="s">
        <v>109</v>
      </c>
      <c r="E1845" s="255" t="s">
        <v>84</v>
      </c>
      <c r="L1845" s="264">
        <v>345351.90110823541</v>
      </c>
      <c r="M1845" s="264">
        <v>343475.40764483373</v>
      </c>
      <c r="N1845" s="264">
        <v>340382.96930121438</v>
      </c>
    </row>
    <row r="1846" spans="1:14" hidden="1">
      <c r="E1846" s="255" t="s">
        <v>226</v>
      </c>
      <c r="L1846" s="264">
        <v>106321.85281040547</v>
      </c>
      <c r="M1846" s="264">
        <v>80825.535868338979</v>
      </c>
      <c r="N1846" s="264">
        <v>70262.459353639919</v>
      </c>
    </row>
    <row r="1847" spans="1:14" hidden="1">
      <c r="E1847" s="255" t="s">
        <v>367</v>
      </c>
      <c r="L1847" s="264">
        <v>4598.8453115667926</v>
      </c>
      <c r="M1847" s="264">
        <v>0</v>
      </c>
      <c r="N1847" s="264">
        <v>0</v>
      </c>
    </row>
    <row r="1848" spans="1:14" hidden="1">
      <c r="C1848" s="249">
        <v>52</v>
      </c>
      <c r="D1848" s="249" t="s">
        <v>69</v>
      </c>
      <c r="E1848" s="255" t="s">
        <v>84</v>
      </c>
      <c r="L1848" s="264">
        <v>190165.40428753503</v>
      </c>
      <c r="M1848" s="264">
        <v>73407.666300062585</v>
      </c>
      <c r="N1848" s="264">
        <v>65510.659199392343</v>
      </c>
    </row>
    <row r="1849" spans="1:14" hidden="1">
      <c r="E1849" s="255" t="s">
        <v>226</v>
      </c>
      <c r="L1849" s="264">
        <v>250584.40352689958</v>
      </c>
      <c r="M1849" s="264">
        <v>30613.458044586965</v>
      </c>
      <c r="N1849" s="264">
        <v>25686.94681966952</v>
      </c>
    </row>
    <row r="1850" spans="1:14" hidden="1">
      <c r="E1850" s="255" t="s">
        <v>204</v>
      </c>
      <c r="L1850" s="264">
        <v>35639</v>
      </c>
      <c r="M1850" s="264">
        <v>0</v>
      </c>
      <c r="N1850" s="264">
        <v>0</v>
      </c>
    </row>
    <row r="1851" spans="1:14" hidden="1">
      <c r="E1851" s="255" t="s">
        <v>209</v>
      </c>
      <c r="L1851" s="264">
        <v>437973.21981109102</v>
      </c>
      <c r="M1851" s="264">
        <v>109493.30495277277</v>
      </c>
      <c r="N1851" s="264">
        <v>109493.30495277277</v>
      </c>
    </row>
    <row r="1852" spans="1:14" hidden="1">
      <c r="E1852" s="255" t="s">
        <v>215</v>
      </c>
      <c r="L1852" s="264">
        <v>2318.6817519410702</v>
      </c>
      <c r="M1852" s="264">
        <v>579.67043798526765</v>
      </c>
      <c r="N1852" s="264">
        <v>579.67043798526765</v>
      </c>
    </row>
    <row r="1853" spans="1:14" hidden="1">
      <c r="E1853" s="255" t="s">
        <v>367</v>
      </c>
      <c r="L1853" s="264">
        <v>50044.903471979414</v>
      </c>
      <c r="M1853" s="264">
        <v>4235.3922856008348</v>
      </c>
      <c r="N1853" s="264">
        <v>2326.4106911142076</v>
      </c>
    </row>
    <row r="1854" spans="1:14" hidden="1">
      <c r="C1854" s="249">
        <v>61</v>
      </c>
      <c r="D1854" s="249" t="s">
        <v>276</v>
      </c>
      <c r="E1854" s="255" t="s">
        <v>84</v>
      </c>
      <c r="L1854" s="264">
        <v>47607.355066693213</v>
      </c>
      <c r="M1854" s="264">
        <v>0</v>
      </c>
      <c r="N1854" s="264">
        <v>0</v>
      </c>
    </row>
    <row r="1855" spans="1:14" hidden="1">
      <c r="E1855" s="255" t="s">
        <v>226</v>
      </c>
      <c r="L1855" s="264">
        <v>3915.322848231468</v>
      </c>
      <c r="M1855" s="264">
        <v>0</v>
      </c>
      <c r="N1855" s="264">
        <v>0</v>
      </c>
    </row>
    <row r="1856" spans="1:14" ht="30" hidden="1">
      <c r="A1856" s="249" t="s">
        <v>430</v>
      </c>
      <c r="B1856" s="252" t="s">
        <v>431</v>
      </c>
      <c r="C1856" s="249">
        <v>31</v>
      </c>
      <c r="D1856" s="249" t="s">
        <v>333</v>
      </c>
      <c r="E1856" s="255" t="s">
        <v>84</v>
      </c>
      <c r="L1856" s="264">
        <v>318467.75724998338</v>
      </c>
      <c r="M1856" s="264">
        <v>318799.56427101995</v>
      </c>
      <c r="N1856" s="264">
        <v>318799.56427101995</v>
      </c>
    </row>
    <row r="1857" spans="3:14" hidden="1">
      <c r="E1857" s="255" t="s">
        <v>226</v>
      </c>
      <c r="L1857" s="264">
        <v>731912.47614307515</v>
      </c>
      <c r="M1857" s="264">
        <v>746940.67973986338</v>
      </c>
      <c r="N1857" s="264">
        <v>746940.67973986338</v>
      </c>
    </row>
    <row r="1858" spans="3:14" hidden="1">
      <c r="E1858" s="255" t="s">
        <v>192</v>
      </c>
      <c r="L1858" s="264">
        <v>2787.1789767071468</v>
      </c>
      <c r="M1858" s="264">
        <v>2926.5379255425046</v>
      </c>
      <c r="N1858" s="264">
        <v>2926.5379255425046</v>
      </c>
    </row>
    <row r="1859" spans="3:14" hidden="1">
      <c r="E1859" s="255" t="s">
        <v>209</v>
      </c>
      <c r="L1859" s="264">
        <v>7883.7348198287873</v>
      </c>
      <c r="M1859" s="264">
        <v>8277.9215608202267</v>
      </c>
      <c r="N1859" s="264">
        <v>8277.9215608202267</v>
      </c>
    </row>
    <row r="1860" spans="3:14" hidden="1">
      <c r="E1860" s="255" t="s">
        <v>215</v>
      </c>
      <c r="L1860" s="264">
        <v>6636.1404207313026</v>
      </c>
      <c r="M1860" s="264">
        <v>6967.9474417678684</v>
      </c>
      <c r="N1860" s="264">
        <v>6967.9474417678684</v>
      </c>
    </row>
    <row r="1861" spans="3:14" hidden="1">
      <c r="E1861" s="255" t="s">
        <v>367</v>
      </c>
      <c r="L1861" s="264">
        <v>170389.54144269694</v>
      </c>
      <c r="M1861" s="264">
        <v>171924.48072201211</v>
      </c>
      <c r="N1861" s="264">
        <v>171924.48072201211</v>
      </c>
    </row>
    <row r="1862" spans="3:14" hidden="1">
      <c r="C1862" s="249">
        <v>43</v>
      </c>
      <c r="D1862" s="249" t="s">
        <v>104</v>
      </c>
      <c r="E1862" s="255" t="s">
        <v>84</v>
      </c>
      <c r="L1862" s="264">
        <v>992633.48596456298</v>
      </c>
      <c r="M1862" s="264">
        <v>1042270.160262791</v>
      </c>
      <c r="N1862" s="264">
        <v>1042270.160262791</v>
      </c>
    </row>
    <row r="1863" spans="3:14" hidden="1">
      <c r="E1863" s="255" t="s">
        <v>226</v>
      </c>
      <c r="L1863" s="264">
        <v>1012340.5667263917</v>
      </c>
      <c r="M1863" s="264">
        <v>1062957.5950627115</v>
      </c>
      <c r="N1863" s="264">
        <v>1062957.5950627115</v>
      </c>
    </row>
    <row r="1864" spans="3:14" hidden="1">
      <c r="E1864" s="255" t="s">
        <v>192</v>
      </c>
      <c r="L1864" s="264">
        <v>5320.3264981086995</v>
      </c>
      <c r="M1864" s="264">
        <v>5586.3428230141353</v>
      </c>
      <c r="N1864" s="264">
        <v>5586.3428230141353</v>
      </c>
    </row>
    <row r="1865" spans="3:14" hidden="1">
      <c r="E1865" s="255" t="s">
        <v>209</v>
      </c>
      <c r="L1865" s="264">
        <v>52910.345742915917</v>
      </c>
      <c r="M1865" s="264">
        <v>55555.863030061715</v>
      </c>
      <c r="N1865" s="264">
        <v>55555.863030061715</v>
      </c>
    </row>
    <row r="1866" spans="3:14" hidden="1">
      <c r="E1866" s="255" t="s">
        <v>283</v>
      </c>
      <c r="L1866" s="264">
        <v>6636.1404207313026</v>
      </c>
      <c r="M1866" s="264">
        <v>6967.9474417678684</v>
      </c>
      <c r="N1866" s="264">
        <v>6967.9474417678684</v>
      </c>
    </row>
    <row r="1867" spans="3:14" hidden="1">
      <c r="E1867" s="255" t="s">
        <v>367</v>
      </c>
      <c r="L1867" s="264">
        <v>133215.74092507799</v>
      </c>
      <c r="M1867" s="264">
        <v>139876.52797133185</v>
      </c>
      <c r="N1867" s="264">
        <v>139876.52797133185</v>
      </c>
    </row>
    <row r="1868" spans="3:14" hidden="1">
      <c r="C1868" s="249">
        <v>52</v>
      </c>
      <c r="D1868" s="249" t="s">
        <v>69</v>
      </c>
      <c r="E1868" s="255" t="s">
        <v>84</v>
      </c>
      <c r="L1868" s="264">
        <v>148571.22095675499</v>
      </c>
      <c r="M1868" s="264">
        <v>89676.156347468321</v>
      </c>
      <c r="N1868" s="264">
        <v>58964.098480323839</v>
      </c>
    </row>
    <row r="1869" spans="3:14" hidden="1">
      <c r="E1869" s="255" t="s">
        <v>226</v>
      </c>
      <c r="L1869" s="264">
        <v>248568.62292793478</v>
      </c>
      <c r="M1869" s="264">
        <v>83971.066427765618</v>
      </c>
      <c r="N1869" s="264">
        <v>40859.778352909947</v>
      </c>
    </row>
    <row r="1870" spans="3:14" hidden="1">
      <c r="E1870" s="255" t="s">
        <v>209</v>
      </c>
      <c r="L1870" s="264">
        <v>2297.1235041282789</v>
      </c>
      <c r="M1870" s="264">
        <v>1858.1193178047647</v>
      </c>
      <c r="N1870" s="264">
        <v>0</v>
      </c>
    </row>
    <row r="1871" spans="3:14" hidden="1">
      <c r="E1871" s="255" t="s">
        <v>215</v>
      </c>
      <c r="L1871" s="264">
        <v>1640.8025029487708</v>
      </c>
      <c r="M1871" s="264">
        <v>0</v>
      </c>
      <c r="N1871" s="264">
        <v>0</v>
      </c>
    </row>
    <row r="1872" spans="3:14" hidden="1">
      <c r="E1872" s="255" t="s">
        <v>367</v>
      </c>
      <c r="L1872" s="264">
        <v>5906.8890106155741</v>
      </c>
      <c r="M1872" s="264">
        <v>1194.5052757316344</v>
      </c>
      <c r="N1872" s="264">
        <v>1433.4063308779614</v>
      </c>
    </row>
    <row r="1873" spans="1:14" hidden="1">
      <c r="C1873" s="249">
        <v>61</v>
      </c>
      <c r="D1873" s="249" t="s">
        <v>276</v>
      </c>
      <c r="E1873" s="255" t="s">
        <v>226</v>
      </c>
      <c r="L1873" s="264">
        <v>10617.824673170084</v>
      </c>
      <c r="M1873" s="264">
        <v>10617.824673170084</v>
      </c>
      <c r="N1873" s="264">
        <v>10617.824673170084</v>
      </c>
    </row>
    <row r="1874" spans="1:14" hidden="1">
      <c r="E1874" s="255" t="s">
        <v>209</v>
      </c>
      <c r="L1874" s="264">
        <v>5308.9123365850419</v>
      </c>
      <c r="M1874" s="264">
        <v>6636.1404207313026</v>
      </c>
      <c r="N1874" s="264">
        <v>6636.1404207313026</v>
      </c>
    </row>
    <row r="1875" spans="1:14" hidden="1">
      <c r="C1875" s="249">
        <v>71</v>
      </c>
      <c r="D1875" s="249" t="s">
        <v>387</v>
      </c>
      <c r="E1875" s="255" t="s">
        <v>226</v>
      </c>
      <c r="L1875" s="264">
        <v>1327.2280841462605</v>
      </c>
      <c r="M1875" s="264">
        <v>1990.8421262193906</v>
      </c>
      <c r="N1875" s="264">
        <v>2654.4561682925209</v>
      </c>
    </row>
    <row r="1876" spans="1:14" ht="30" hidden="1">
      <c r="A1876" s="249" t="s">
        <v>413</v>
      </c>
      <c r="B1876" s="252" t="s">
        <v>414</v>
      </c>
      <c r="C1876" s="249">
        <v>11</v>
      </c>
      <c r="D1876" s="249" t="s">
        <v>100</v>
      </c>
      <c r="E1876" s="255" t="s">
        <v>84</v>
      </c>
      <c r="L1876" s="264">
        <v>2575566.3468336957</v>
      </c>
      <c r="M1876" s="264">
        <v>2587883.867034168</v>
      </c>
      <c r="N1876" s="264">
        <v>2600259.1318702791</v>
      </c>
    </row>
    <row r="1877" spans="1:14" hidden="1">
      <c r="E1877" s="255" t="s">
        <v>226</v>
      </c>
      <c r="L1877" s="264">
        <v>34566.212111618202</v>
      </c>
      <c r="M1877" s="264">
        <v>34731.523331988086</v>
      </c>
      <c r="N1877" s="264">
        <v>34897.609532713745</v>
      </c>
    </row>
    <row r="1878" spans="1:14" ht="30" hidden="1">
      <c r="A1878" s="249" t="s">
        <v>365</v>
      </c>
      <c r="B1878" s="252" t="s">
        <v>366</v>
      </c>
      <c r="C1878" s="249">
        <v>11</v>
      </c>
      <c r="D1878" s="249" t="s">
        <v>100</v>
      </c>
      <c r="E1878" s="255" t="s">
        <v>84</v>
      </c>
      <c r="L1878" s="264">
        <v>40749.872458966805</v>
      </c>
      <c r="M1878" s="264">
        <v>40749.872458966805</v>
      </c>
      <c r="N1878" s="264">
        <v>40749.872458966805</v>
      </c>
    </row>
    <row r="1879" spans="1:14" hidden="1">
      <c r="E1879" s="255" t="s">
        <v>226</v>
      </c>
      <c r="L1879" s="264">
        <v>186057.15283362818</v>
      </c>
      <c r="M1879" s="264">
        <v>186057.15283362818</v>
      </c>
      <c r="N1879" s="264">
        <v>186057.15283362818</v>
      </c>
    </row>
    <row r="1880" spans="1:14" hidden="1">
      <c r="E1880" s="255" t="s">
        <v>209</v>
      </c>
      <c r="L1880" s="264">
        <v>5478.5581887336402</v>
      </c>
      <c r="M1880" s="264">
        <v>5478.5581887336402</v>
      </c>
      <c r="N1880" s="264">
        <v>5478.5581887336402</v>
      </c>
    </row>
    <row r="1881" spans="1:14" hidden="1">
      <c r="E1881" s="255" t="s">
        <v>367</v>
      </c>
      <c r="L1881" s="264">
        <v>3834.8256158329955</v>
      </c>
      <c r="M1881" s="264">
        <v>3834.8256158329955</v>
      </c>
      <c r="N1881" s="264">
        <v>3834.8256158329955</v>
      </c>
    </row>
    <row r="1882" spans="1:14" ht="30" hidden="1">
      <c r="A1882" s="249" t="s">
        <v>415</v>
      </c>
      <c r="B1882" s="252" t="s">
        <v>416</v>
      </c>
      <c r="C1882" s="249">
        <v>52</v>
      </c>
      <c r="D1882" s="249" t="s">
        <v>69</v>
      </c>
      <c r="E1882" s="255" t="s">
        <v>226</v>
      </c>
      <c r="L1882" s="264">
        <v>6055</v>
      </c>
      <c r="M1882" s="264">
        <v>3255</v>
      </c>
      <c r="N1882" s="264">
        <v>1211</v>
      </c>
    </row>
    <row r="1883" spans="1:14" ht="30" hidden="1">
      <c r="A1883" s="249" t="s">
        <v>417</v>
      </c>
      <c r="B1883" s="252" t="s">
        <v>418</v>
      </c>
      <c r="C1883" s="249">
        <v>31</v>
      </c>
      <c r="D1883" s="249" t="s">
        <v>333</v>
      </c>
      <c r="E1883" s="255" t="s">
        <v>84</v>
      </c>
      <c r="L1883" s="264">
        <v>101666</v>
      </c>
      <c r="M1883" s="264">
        <v>101666</v>
      </c>
      <c r="N1883" s="264">
        <v>101666</v>
      </c>
    </row>
    <row r="1884" spans="1:14" hidden="1">
      <c r="E1884" s="255" t="s">
        <v>226</v>
      </c>
      <c r="L1884" s="264">
        <v>77243</v>
      </c>
      <c r="M1884" s="264">
        <v>77243</v>
      </c>
      <c r="N1884" s="264">
        <v>77243</v>
      </c>
    </row>
    <row r="1885" spans="1:14" hidden="1">
      <c r="E1885" s="255" t="s">
        <v>283</v>
      </c>
      <c r="L1885" s="264">
        <v>331807</v>
      </c>
      <c r="M1885" s="264">
        <v>0</v>
      </c>
      <c r="N1885" s="264"/>
    </row>
    <row r="1886" spans="1:14" hidden="1">
      <c r="E1886" s="255" t="s">
        <v>367</v>
      </c>
      <c r="L1886" s="264">
        <v>131395</v>
      </c>
      <c r="M1886" s="264">
        <v>121395</v>
      </c>
      <c r="N1886" s="264">
        <v>121395</v>
      </c>
    </row>
    <row r="1887" spans="1:14" hidden="1">
      <c r="E1887" s="255" t="s">
        <v>322</v>
      </c>
      <c r="L1887" s="264">
        <v>199084</v>
      </c>
      <c r="M1887" s="264">
        <v>200000</v>
      </c>
      <c r="N1887" s="264">
        <v>500000</v>
      </c>
    </row>
    <row r="1888" spans="1:14" hidden="1">
      <c r="C1888" s="249">
        <v>43</v>
      </c>
      <c r="D1888" s="249" t="s">
        <v>104</v>
      </c>
      <c r="E1888" s="255" t="s">
        <v>84</v>
      </c>
      <c r="L1888" s="264">
        <v>873124</v>
      </c>
      <c r="M1888" s="264">
        <v>873124</v>
      </c>
      <c r="N1888" s="264">
        <v>755424</v>
      </c>
    </row>
    <row r="1889" spans="1:14" hidden="1">
      <c r="E1889" s="255" t="s">
        <v>226</v>
      </c>
      <c r="L1889" s="264">
        <v>480587</v>
      </c>
      <c r="M1889" s="264">
        <v>480587</v>
      </c>
      <c r="N1889" s="264">
        <v>480587</v>
      </c>
    </row>
    <row r="1890" spans="1:14" hidden="1">
      <c r="E1890" s="255" t="s">
        <v>192</v>
      </c>
      <c r="L1890" s="264">
        <v>2654</v>
      </c>
      <c r="M1890" s="264">
        <v>2654</v>
      </c>
      <c r="N1890" s="264">
        <v>2654</v>
      </c>
    </row>
    <row r="1891" spans="1:14" hidden="1">
      <c r="E1891" s="255" t="s">
        <v>209</v>
      </c>
      <c r="L1891" s="264">
        <v>9291</v>
      </c>
      <c r="M1891" s="264">
        <v>9291</v>
      </c>
      <c r="N1891" s="264">
        <v>9291</v>
      </c>
    </row>
    <row r="1892" spans="1:14" hidden="1">
      <c r="E1892" s="255" t="s">
        <v>215</v>
      </c>
      <c r="L1892" s="264">
        <v>5309</v>
      </c>
      <c r="M1892" s="264">
        <v>5309</v>
      </c>
      <c r="N1892" s="264">
        <v>5309</v>
      </c>
    </row>
    <row r="1893" spans="1:14" hidden="1">
      <c r="E1893" s="255" t="s">
        <v>283</v>
      </c>
      <c r="L1893" s="264">
        <v>2654</v>
      </c>
      <c r="M1893" s="264">
        <v>2654</v>
      </c>
      <c r="N1893" s="264">
        <v>2654</v>
      </c>
    </row>
    <row r="1894" spans="1:14" hidden="1">
      <c r="E1894" s="255" t="s">
        <v>367</v>
      </c>
      <c r="L1894" s="264">
        <v>65034</v>
      </c>
      <c r="M1894" s="264">
        <v>65034</v>
      </c>
      <c r="N1894" s="264">
        <v>65034</v>
      </c>
    </row>
    <row r="1895" spans="1:14" hidden="1">
      <c r="E1895" s="255" t="s">
        <v>322</v>
      </c>
      <c r="L1895" s="264">
        <v>132723</v>
      </c>
      <c r="M1895" s="264">
        <v>100000</v>
      </c>
      <c r="N1895" s="264">
        <v>0</v>
      </c>
    </row>
    <row r="1896" spans="1:14" hidden="1">
      <c r="C1896" s="249">
        <v>61</v>
      </c>
      <c r="D1896" s="249" t="s">
        <v>276</v>
      </c>
      <c r="E1896" s="255" t="s">
        <v>226</v>
      </c>
      <c r="L1896" s="264">
        <v>400</v>
      </c>
      <c r="M1896" s="264">
        <v>400</v>
      </c>
      <c r="N1896" s="264">
        <v>400</v>
      </c>
    </row>
    <row r="1897" spans="1:14" hidden="1">
      <c r="E1897" s="255" t="s">
        <v>367</v>
      </c>
      <c r="L1897" s="264">
        <v>1591</v>
      </c>
      <c r="M1897" s="264">
        <v>1591</v>
      </c>
      <c r="N1897" s="264">
        <v>1591</v>
      </c>
    </row>
    <row r="1898" spans="1:14" hidden="1">
      <c r="C1898" s="249">
        <v>71</v>
      </c>
      <c r="D1898" s="249" t="s">
        <v>387</v>
      </c>
      <c r="E1898" s="255" t="s">
        <v>367</v>
      </c>
      <c r="L1898" s="264">
        <v>111</v>
      </c>
      <c r="M1898" s="264">
        <v>111</v>
      </c>
      <c r="N1898" s="264">
        <v>111</v>
      </c>
    </row>
    <row r="1899" spans="1:14" ht="30" hidden="1">
      <c r="A1899" s="249" t="s">
        <v>413</v>
      </c>
      <c r="B1899" s="252" t="s">
        <v>414</v>
      </c>
      <c r="C1899" s="249">
        <v>11</v>
      </c>
      <c r="D1899" s="249" t="s">
        <v>100</v>
      </c>
      <c r="E1899" s="255" t="s">
        <v>84</v>
      </c>
      <c r="L1899" s="264">
        <v>4374279.2040271247</v>
      </c>
      <c r="M1899" s="264">
        <v>4395198.9805742716</v>
      </c>
      <c r="N1899" s="264">
        <v>4416216.8292053035</v>
      </c>
    </row>
    <row r="1900" spans="1:14" hidden="1">
      <c r="E1900" s="255" t="s">
        <v>226</v>
      </c>
      <c r="L1900" s="264">
        <v>68432.60299475606</v>
      </c>
      <c r="M1900" s="264">
        <v>68759.878574666916</v>
      </c>
      <c r="N1900" s="264">
        <v>69088.688425178305</v>
      </c>
    </row>
    <row r="1901" spans="1:14" ht="30" hidden="1">
      <c r="A1901" s="249" t="s">
        <v>381</v>
      </c>
      <c r="B1901" s="252" t="s">
        <v>382</v>
      </c>
      <c r="C1901" s="249">
        <v>11</v>
      </c>
      <c r="D1901" s="249" t="s">
        <v>100</v>
      </c>
      <c r="E1901" s="255" t="s">
        <v>226</v>
      </c>
      <c r="L1901" s="264">
        <v>10753.510241885109</v>
      </c>
      <c r="M1901" s="264">
        <v>10753.510241885109</v>
      </c>
      <c r="N1901" s="264">
        <v>10753.510241885109</v>
      </c>
    </row>
    <row r="1902" spans="1:14" ht="30" hidden="1">
      <c r="A1902" s="249" t="s">
        <v>365</v>
      </c>
      <c r="B1902" s="252" t="s">
        <v>366</v>
      </c>
      <c r="C1902" s="249">
        <v>11</v>
      </c>
      <c r="D1902" s="249" t="s">
        <v>100</v>
      </c>
      <c r="E1902" s="255" t="s">
        <v>84</v>
      </c>
      <c r="L1902" s="264">
        <v>155379.37348836701</v>
      </c>
      <c r="M1902" s="264">
        <v>155379.37348836701</v>
      </c>
      <c r="N1902" s="264">
        <v>155379.37348836701</v>
      </c>
    </row>
    <row r="1903" spans="1:14" hidden="1">
      <c r="E1903" s="255" t="s">
        <v>226</v>
      </c>
      <c r="L1903" s="264">
        <v>322874.97964368021</v>
      </c>
      <c r="M1903" s="264">
        <v>322874.97964368021</v>
      </c>
      <c r="N1903" s="264">
        <v>322874.97964368021</v>
      </c>
    </row>
    <row r="1904" spans="1:14" hidden="1">
      <c r="E1904" s="255" t="s">
        <v>192</v>
      </c>
      <c r="L1904" s="264">
        <v>1836.9186211471292</v>
      </c>
      <c r="M1904" s="264">
        <v>1836.9186211471292</v>
      </c>
      <c r="N1904" s="264">
        <v>1836.9186211471292</v>
      </c>
    </row>
    <row r="1905" spans="1:14" hidden="1">
      <c r="E1905" s="255" t="s">
        <v>367</v>
      </c>
      <c r="L1905" s="264">
        <v>38478.698019966461</v>
      </c>
      <c r="M1905" s="264">
        <v>38478.698019966461</v>
      </c>
      <c r="N1905" s="264">
        <v>38478.698019966461</v>
      </c>
    </row>
    <row r="1906" spans="1:14" ht="30" hidden="1">
      <c r="A1906" s="249" t="s">
        <v>415</v>
      </c>
      <c r="B1906" s="252" t="s">
        <v>416</v>
      </c>
      <c r="C1906" s="249">
        <v>51</v>
      </c>
      <c r="D1906" s="249" t="s">
        <v>109</v>
      </c>
      <c r="E1906" s="255" t="s">
        <v>84</v>
      </c>
      <c r="L1906" s="264">
        <v>90600</v>
      </c>
      <c r="M1906" s="264">
        <v>90600</v>
      </c>
      <c r="N1906" s="264">
        <v>60700</v>
      </c>
    </row>
    <row r="1907" spans="1:14" hidden="1">
      <c r="E1907" s="255" t="s">
        <v>226</v>
      </c>
      <c r="L1907" s="264">
        <v>32822</v>
      </c>
      <c r="M1907" s="264">
        <v>32822</v>
      </c>
      <c r="N1907" s="264">
        <v>25072</v>
      </c>
    </row>
    <row r="1908" spans="1:14" hidden="1">
      <c r="E1908" s="255" t="s">
        <v>367</v>
      </c>
      <c r="L1908" s="264">
        <v>9800</v>
      </c>
      <c r="M1908" s="264">
        <v>7800</v>
      </c>
      <c r="N1908" s="264">
        <v>7800</v>
      </c>
    </row>
    <row r="1909" spans="1:14" hidden="1">
      <c r="C1909" s="249">
        <v>52</v>
      </c>
      <c r="D1909" s="249" t="s">
        <v>69</v>
      </c>
      <c r="E1909" s="255" t="s">
        <v>226</v>
      </c>
      <c r="L1909" s="264">
        <v>37134</v>
      </c>
      <c r="M1909" s="264">
        <v>13365</v>
      </c>
      <c r="N1909" s="264">
        <v>2455</v>
      </c>
    </row>
    <row r="1910" spans="1:14" hidden="1">
      <c r="E1910" s="255" t="s">
        <v>367</v>
      </c>
      <c r="L1910" s="264">
        <v>46454</v>
      </c>
      <c r="M1910" s="264">
        <v>5310</v>
      </c>
      <c r="N1910" s="264">
        <v>0</v>
      </c>
    </row>
    <row r="1911" spans="1:14" ht="30" hidden="1">
      <c r="A1911" s="249" t="s">
        <v>417</v>
      </c>
      <c r="B1911" s="252" t="s">
        <v>418</v>
      </c>
      <c r="C1911" s="249">
        <v>31</v>
      </c>
      <c r="D1911" s="249" t="s">
        <v>333</v>
      </c>
      <c r="E1911" s="255" t="s">
        <v>84</v>
      </c>
      <c r="L1911" s="264">
        <v>16714</v>
      </c>
      <c r="M1911" s="264">
        <v>16714</v>
      </c>
      <c r="N1911" s="264">
        <v>16714</v>
      </c>
    </row>
    <row r="1912" spans="1:14" hidden="1">
      <c r="E1912" s="255" t="s">
        <v>226</v>
      </c>
      <c r="L1912" s="264">
        <v>14424</v>
      </c>
      <c r="M1912" s="264">
        <v>14424</v>
      </c>
      <c r="N1912" s="264">
        <v>14424</v>
      </c>
    </row>
    <row r="1913" spans="1:14" hidden="1">
      <c r="E1913" s="255" t="s">
        <v>367</v>
      </c>
      <c r="L1913" s="264">
        <v>3500</v>
      </c>
      <c r="M1913" s="264">
        <v>3500</v>
      </c>
      <c r="N1913" s="264">
        <v>3500</v>
      </c>
    </row>
    <row r="1914" spans="1:14" hidden="1">
      <c r="C1914" s="249">
        <v>43</v>
      </c>
      <c r="D1914" s="249" t="s">
        <v>104</v>
      </c>
      <c r="E1914" s="255" t="s">
        <v>84</v>
      </c>
      <c r="L1914" s="264">
        <v>41319</v>
      </c>
      <c r="M1914" s="264">
        <v>41319</v>
      </c>
      <c r="N1914" s="264">
        <v>41319</v>
      </c>
    </row>
    <row r="1915" spans="1:14" hidden="1">
      <c r="E1915" s="255" t="s">
        <v>226</v>
      </c>
      <c r="L1915" s="264">
        <v>159000</v>
      </c>
      <c r="M1915" s="264">
        <v>159198</v>
      </c>
      <c r="N1915" s="264">
        <v>159198</v>
      </c>
    </row>
    <row r="1916" spans="1:14" hidden="1">
      <c r="E1916" s="255" t="s">
        <v>192</v>
      </c>
      <c r="L1916" s="264">
        <v>150</v>
      </c>
      <c r="M1916" s="264">
        <v>150</v>
      </c>
      <c r="N1916" s="264">
        <v>150</v>
      </c>
    </row>
    <row r="1917" spans="1:14" hidden="1">
      <c r="E1917" s="255" t="s">
        <v>209</v>
      </c>
      <c r="L1917" s="264">
        <v>8800</v>
      </c>
      <c r="M1917" s="264">
        <v>9260</v>
      </c>
      <c r="N1917" s="264">
        <v>9260</v>
      </c>
    </row>
    <row r="1918" spans="1:14" hidden="1">
      <c r="E1918" s="255" t="s">
        <v>367</v>
      </c>
      <c r="L1918" s="264">
        <v>59500</v>
      </c>
      <c r="M1918" s="264">
        <v>59500</v>
      </c>
      <c r="N1918" s="264">
        <v>59500</v>
      </c>
    </row>
    <row r="1919" spans="1:14" hidden="1">
      <c r="C1919" s="249">
        <v>52</v>
      </c>
      <c r="D1919" s="249" t="s">
        <v>69</v>
      </c>
      <c r="E1919" s="255" t="s">
        <v>84</v>
      </c>
      <c r="L1919" s="264">
        <v>81600</v>
      </c>
      <c r="M1919" s="264">
        <v>53754</v>
      </c>
      <c r="N1919" s="264">
        <v>25218</v>
      </c>
    </row>
    <row r="1920" spans="1:14" hidden="1">
      <c r="E1920" s="255" t="s">
        <v>226</v>
      </c>
      <c r="L1920" s="264">
        <v>237498</v>
      </c>
      <c r="M1920" s="264">
        <v>220640</v>
      </c>
      <c r="N1920" s="264">
        <v>183467</v>
      </c>
    </row>
    <row r="1921" spans="1:14" hidden="1">
      <c r="E1921" s="255" t="s">
        <v>192</v>
      </c>
      <c r="L1921" s="264">
        <v>100</v>
      </c>
      <c r="M1921" s="264">
        <v>100</v>
      </c>
      <c r="N1921" s="264">
        <v>100</v>
      </c>
    </row>
    <row r="1922" spans="1:14" hidden="1">
      <c r="E1922" s="255" t="s">
        <v>367</v>
      </c>
      <c r="L1922" s="264">
        <v>67185</v>
      </c>
      <c r="M1922" s="264">
        <v>1221</v>
      </c>
      <c r="N1922" s="264">
        <v>226</v>
      </c>
    </row>
    <row r="1923" spans="1:14" hidden="1">
      <c r="C1923" s="249">
        <v>61</v>
      </c>
      <c r="D1923" s="249" t="s">
        <v>276</v>
      </c>
      <c r="E1923" s="255" t="s">
        <v>84</v>
      </c>
      <c r="L1923" s="264">
        <v>1677</v>
      </c>
      <c r="M1923" s="264">
        <v>0</v>
      </c>
      <c r="N1923" s="264">
        <v>0</v>
      </c>
    </row>
    <row r="1924" spans="1:14" ht="30" hidden="1">
      <c r="A1924" s="249" t="s">
        <v>432</v>
      </c>
      <c r="B1924" s="252" t="s">
        <v>433</v>
      </c>
      <c r="C1924" s="249">
        <v>11</v>
      </c>
      <c r="D1924" s="249" t="s">
        <v>100</v>
      </c>
      <c r="E1924" s="255" t="s">
        <v>84</v>
      </c>
      <c r="L1924" s="264">
        <v>7033935.9856837243</v>
      </c>
      <c r="M1924" s="264">
        <v>7066183.5980034005</v>
      </c>
      <c r="N1924" s="264">
        <v>7098583.2007190231</v>
      </c>
    </row>
    <row r="1925" spans="1:14" hidden="1">
      <c r="E1925" s="255" t="s">
        <v>226</v>
      </c>
      <c r="L1925" s="264">
        <v>120556.23932205235</v>
      </c>
      <c r="M1925" s="264">
        <v>121108.9385328908</v>
      </c>
      <c r="N1925" s="264">
        <v>121664.24274192454</v>
      </c>
    </row>
    <row r="1926" spans="1:14" hidden="1">
      <c r="E1926" s="255" t="s">
        <v>215</v>
      </c>
      <c r="L1926" s="264">
        <v>250118.77499422274</v>
      </c>
      <c r="M1926" s="264">
        <v>251265.4634637087</v>
      </c>
      <c r="N1926" s="264">
        <v>252417.55653905438</v>
      </c>
    </row>
    <row r="1927" spans="1:14" ht="30" hidden="1">
      <c r="A1927" s="249" t="s">
        <v>365</v>
      </c>
      <c r="B1927" s="252" t="s">
        <v>366</v>
      </c>
      <c r="C1927" s="249">
        <v>11</v>
      </c>
      <c r="D1927" s="249" t="s">
        <v>100</v>
      </c>
      <c r="E1927" s="255" t="s">
        <v>84</v>
      </c>
      <c r="L1927" s="264">
        <v>76592.521396033349</v>
      </c>
      <c r="M1927" s="264">
        <v>76592.521396033349</v>
      </c>
      <c r="N1927" s="264">
        <v>76592.521396033349</v>
      </c>
    </row>
    <row r="1928" spans="1:14" hidden="1">
      <c r="E1928" s="255" t="s">
        <v>226</v>
      </c>
      <c r="L1928" s="264">
        <v>618037.92926642299</v>
      </c>
      <c r="M1928" s="264">
        <v>618037.92926642299</v>
      </c>
      <c r="N1928" s="264">
        <v>618037.92926642299</v>
      </c>
    </row>
    <row r="1929" spans="1:14" hidden="1">
      <c r="E1929" s="255" t="s">
        <v>192</v>
      </c>
      <c r="L1929" s="264">
        <v>548.18628286983574</v>
      </c>
      <c r="M1929" s="264">
        <v>548.18628286983574</v>
      </c>
      <c r="N1929" s="264">
        <v>548.18628286983574</v>
      </c>
    </row>
    <row r="1930" spans="1:14" hidden="1">
      <c r="E1930" s="255" t="s">
        <v>209</v>
      </c>
      <c r="L1930" s="264">
        <v>19723.148038795749</v>
      </c>
      <c r="M1930" s="264">
        <v>19723.148038795749</v>
      </c>
      <c r="N1930" s="264">
        <v>19723.148038795749</v>
      </c>
    </row>
    <row r="1931" spans="1:14" hidden="1">
      <c r="E1931" s="255" t="s">
        <v>367</v>
      </c>
      <c r="L1931" s="264">
        <v>21914.242006772471</v>
      </c>
      <c r="M1931" s="264">
        <v>21914.242006772471</v>
      </c>
      <c r="N1931" s="264">
        <v>21914.242006772471</v>
      </c>
    </row>
    <row r="1932" spans="1:14" ht="45" hidden="1">
      <c r="A1932" s="249" t="s">
        <v>434</v>
      </c>
      <c r="B1932" s="252" t="s">
        <v>435</v>
      </c>
      <c r="C1932" s="249">
        <v>51</v>
      </c>
      <c r="D1932" s="249" t="s">
        <v>109</v>
      </c>
      <c r="E1932" s="255" t="s">
        <v>84</v>
      </c>
      <c r="L1932" s="264">
        <v>237577</v>
      </c>
      <c r="M1932" s="264">
        <v>9200</v>
      </c>
      <c r="N1932" s="264">
        <v>0</v>
      </c>
    </row>
    <row r="1933" spans="1:14" hidden="1">
      <c r="E1933" s="255" t="s">
        <v>226</v>
      </c>
      <c r="L1933" s="264">
        <v>87656</v>
      </c>
      <c r="M1933" s="264">
        <v>7060</v>
      </c>
      <c r="N1933" s="264"/>
    </row>
    <row r="1934" spans="1:14" hidden="1">
      <c r="E1934" s="255" t="s">
        <v>204</v>
      </c>
      <c r="L1934" s="264">
        <v>280880</v>
      </c>
      <c r="M1934" s="264"/>
      <c r="N1934" s="264"/>
    </row>
    <row r="1935" spans="1:14" hidden="1">
      <c r="E1935" s="255" t="s">
        <v>367</v>
      </c>
      <c r="L1935" s="264">
        <v>109000</v>
      </c>
      <c r="M1935" s="264"/>
      <c r="N1935" s="264"/>
    </row>
    <row r="1936" spans="1:14" hidden="1">
      <c r="C1936" s="249">
        <v>52</v>
      </c>
      <c r="D1936" s="249" t="s">
        <v>69</v>
      </c>
      <c r="E1936" s="255" t="s">
        <v>84</v>
      </c>
      <c r="L1936" s="264">
        <v>237970</v>
      </c>
      <c r="M1936" s="264">
        <v>12270</v>
      </c>
      <c r="N1936" s="264"/>
    </row>
    <row r="1937" spans="1:14" hidden="1">
      <c r="E1937" s="255" t="s">
        <v>226</v>
      </c>
      <c r="L1937" s="264">
        <v>316775</v>
      </c>
      <c r="M1937" s="264">
        <v>67493</v>
      </c>
      <c r="N1937" s="264">
        <v>0</v>
      </c>
    </row>
    <row r="1938" spans="1:14" hidden="1">
      <c r="E1938" s="255" t="s">
        <v>204</v>
      </c>
      <c r="L1938" s="264">
        <v>244580</v>
      </c>
      <c r="M1938" s="264">
        <v>102023</v>
      </c>
      <c r="N1938" s="264"/>
    </row>
    <row r="1939" spans="1:14" hidden="1">
      <c r="E1939" s="255" t="s">
        <v>209</v>
      </c>
      <c r="L1939" s="264">
        <v>143900</v>
      </c>
      <c r="M1939" s="264">
        <v>26800</v>
      </c>
      <c r="N1939" s="264"/>
    </row>
    <row r="1940" spans="1:14" hidden="1">
      <c r="C1940" s="249">
        <v>61</v>
      </c>
      <c r="D1940" s="249" t="s">
        <v>276</v>
      </c>
      <c r="L1940" s="264"/>
      <c r="M1940" s="264"/>
      <c r="N1940" s="264"/>
    </row>
    <row r="1941" spans="1:14" hidden="1">
      <c r="E1941" s="255" t="s">
        <v>84</v>
      </c>
      <c r="L1941" s="264">
        <v>101498</v>
      </c>
      <c r="M1941" s="264"/>
      <c r="N1941" s="264"/>
    </row>
    <row r="1942" spans="1:14" hidden="1">
      <c r="E1942" s="255" t="s">
        <v>226</v>
      </c>
      <c r="L1942" s="264">
        <v>26879</v>
      </c>
      <c r="M1942" s="264"/>
      <c r="N1942" s="264"/>
    </row>
    <row r="1943" spans="1:14" ht="45" hidden="1">
      <c r="A1943" s="249" t="s">
        <v>436</v>
      </c>
      <c r="B1943" s="252" t="s">
        <v>437</v>
      </c>
      <c r="C1943" s="249">
        <v>31</v>
      </c>
      <c r="D1943" s="249" t="s">
        <v>333</v>
      </c>
      <c r="E1943" s="255" t="s">
        <v>84</v>
      </c>
      <c r="L1943" s="264">
        <v>229743</v>
      </c>
      <c r="M1943" s="264">
        <v>229743</v>
      </c>
      <c r="N1943" s="264">
        <v>229743</v>
      </c>
    </row>
    <row r="1944" spans="1:14" hidden="1">
      <c r="E1944" s="255" t="s">
        <v>226</v>
      </c>
      <c r="L1944" s="264">
        <v>376137</v>
      </c>
      <c r="M1944" s="264">
        <v>376137</v>
      </c>
      <c r="N1944" s="264">
        <v>376137</v>
      </c>
    </row>
    <row r="1945" spans="1:14" hidden="1">
      <c r="E1945" s="255" t="s">
        <v>192</v>
      </c>
      <c r="L1945" s="264">
        <v>4645</v>
      </c>
      <c r="M1945" s="264">
        <v>4645</v>
      </c>
      <c r="N1945" s="264">
        <v>4645</v>
      </c>
    </row>
    <row r="1946" spans="1:14" hidden="1">
      <c r="C1946" s="249">
        <v>43</v>
      </c>
      <c r="D1946" s="249" t="s">
        <v>104</v>
      </c>
      <c r="E1946" s="255" t="s">
        <v>84</v>
      </c>
      <c r="L1946" s="264">
        <v>151304</v>
      </c>
      <c r="M1946" s="264">
        <v>151304</v>
      </c>
      <c r="N1946" s="264">
        <v>151304</v>
      </c>
    </row>
    <row r="1947" spans="1:14" hidden="1">
      <c r="E1947" s="255" t="s">
        <v>226</v>
      </c>
      <c r="L1947" s="264">
        <v>345752</v>
      </c>
      <c r="M1947" s="264">
        <v>345752</v>
      </c>
      <c r="N1947" s="264">
        <v>345752</v>
      </c>
    </row>
    <row r="1948" spans="1:14" hidden="1">
      <c r="E1948" s="255" t="s">
        <v>209</v>
      </c>
      <c r="L1948" s="264">
        <v>26545</v>
      </c>
      <c r="M1948" s="264">
        <v>26545</v>
      </c>
      <c r="N1948" s="264">
        <v>26545</v>
      </c>
    </row>
    <row r="1949" spans="1:14" hidden="1">
      <c r="C1949" s="249">
        <v>52</v>
      </c>
      <c r="D1949" s="249" t="s">
        <v>69</v>
      </c>
      <c r="E1949" s="255" t="s">
        <v>84</v>
      </c>
      <c r="L1949" s="264">
        <v>37396</v>
      </c>
      <c r="M1949" s="264">
        <v>35902</v>
      </c>
      <c r="N1949" s="264">
        <v>18720</v>
      </c>
    </row>
    <row r="1950" spans="1:14" hidden="1">
      <c r="E1950" s="255" t="s">
        <v>226</v>
      </c>
      <c r="L1950" s="264">
        <v>14698</v>
      </c>
      <c r="M1950" s="264"/>
      <c r="N1950" s="264">
        <v>2682</v>
      </c>
    </row>
    <row r="1951" spans="1:14" ht="30" hidden="1">
      <c r="A1951" s="249" t="s">
        <v>363</v>
      </c>
      <c r="B1951" s="252" t="s">
        <v>364</v>
      </c>
      <c r="C1951" s="249">
        <v>11</v>
      </c>
      <c r="D1951" s="249" t="s">
        <v>100</v>
      </c>
      <c r="E1951" s="255" t="s">
        <v>84</v>
      </c>
      <c r="L1951" s="264">
        <v>5691006.090508448</v>
      </c>
      <c r="M1951" s="264">
        <v>5718036.6604351951</v>
      </c>
      <c r="N1951" s="264">
        <v>5745205.7020931505</v>
      </c>
    </row>
    <row r="1952" spans="1:14" hidden="1">
      <c r="E1952" s="255" t="s">
        <v>226</v>
      </c>
      <c r="L1952" s="264">
        <v>288132.23734794284</v>
      </c>
      <c r="M1952" s="264">
        <v>289500.7789495365</v>
      </c>
      <c r="N1952" s="264">
        <v>290876.33129212883</v>
      </c>
    </row>
    <row r="1953" spans="1:14" hidden="1">
      <c r="E1953" s="255" t="s">
        <v>367</v>
      </c>
      <c r="L1953" s="264">
        <v>3129.2832914082755</v>
      </c>
      <c r="M1953" s="264">
        <v>3144.1464473219698</v>
      </c>
      <c r="N1953" s="264">
        <v>3159.0857439510164</v>
      </c>
    </row>
    <row r="1954" spans="1:14" hidden="1">
      <c r="A1954" s="249" t="s">
        <v>438</v>
      </c>
      <c r="B1954" s="252" t="s">
        <v>439</v>
      </c>
      <c r="C1954" s="249">
        <v>11</v>
      </c>
      <c r="D1954" s="249" t="s">
        <v>100</v>
      </c>
      <c r="E1954" s="255" t="s">
        <v>226</v>
      </c>
      <c r="L1954" s="264">
        <v>15927</v>
      </c>
      <c r="M1954" s="264">
        <v>0</v>
      </c>
      <c r="N1954" s="264">
        <v>0</v>
      </c>
    </row>
    <row r="1955" spans="1:14" ht="30" hidden="1">
      <c r="A1955" s="249" t="s">
        <v>365</v>
      </c>
      <c r="B1955" s="252" t="s">
        <v>366</v>
      </c>
      <c r="C1955" s="249">
        <v>11</v>
      </c>
      <c r="D1955" s="249" t="s">
        <v>100</v>
      </c>
      <c r="E1955" s="255" t="s">
        <v>84</v>
      </c>
      <c r="L1955" s="264">
        <v>382959.07837875863</v>
      </c>
      <c r="M1955" s="264">
        <v>382959.07837875863</v>
      </c>
      <c r="N1955" s="264">
        <v>382959.07837875863</v>
      </c>
    </row>
    <row r="1956" spans="1:14" hidden="1">
      <c r="E1956" s="255" t="s">
        <v>226</v>
      </c>
      <c r="L1956" s="264">
        <v>3254322.4570496227</v>
      </c>
      <c r="M1956" s="264">
        <v>3254322.4570496227</v>
      </c>
      <c r="N1956" s="264">
        <v>3254322.4570496227</v>
      </c>
    </row>
    <row r="1957" spans="1:14" hidden="1">
      <c r="E1957" s="255" t="s">
        <v>192</v>
      </c>
      <c r="L1957" s="264">
        <v>10957.114529288383</v>
      </c>
      <c r="M1957" s="264">
        <v>10957.114529288383</v>
      </c>
      <c r="N1957" s="264">
        <v>10957.114529288383</v>
      </c>
    </row>
    <row r="1958" spans="1:14" hidden="1">
      <c r="E1958" s="255" t="s">
        <v>209</v>
      </c>
      <c r="L1958" s="264">
        <v>1012459.0127353505</v>
      </c>
      <c r="M1958" s="264">
        <v>1012459.0127353505</v>
      </c>
      <c r="N1958" s="264">
        <v>1012459.0127353505</v>
      </c>
    </row>
    <row r="1959" spans="1:14" hidden="1">
      <c r="E1959" s="255" t="s">
        <v>367</v>
      </c>
      <c r="L1959" s="264">
        <v>116147.72563799468</v>
      </c>
      <c r="M1959" s="264">
        <v>116147.72563799468</v>
      </c>
      <c r="N1959" s="264">
        <v>116147.72563799468</v>
      </c>
    </row>
    <row r="1960" spans="1:14" ht="30" hidden="1">
      <c r="A1960" s="249" t="s">
        <v>368</v>
      </c>
      <c r="B1960" s="252" t="s">
        <v>369</v>
      </c>
      <c r="C1960" s="249">
        <v>51</v>
      </c>
      <c r="D1960" s="249" t="s">
        <v>109</v>
      </c>
      <c r="E1960" s="255" t="s">
        <v>226</v>
      </c>
      <c r="L1960" s="264">
        <v>38159</v>
      </c>
      <c r="M1960" s="264">
        <v>19773</v>
      </c>
      <c r="N1960" s="264">
        <v>0</v>
      </c>
    </row>
    <row r="1961" spans="1:14" hidden="1">
      <c r="C1961" s="249">
        <v>52</v>
      </c>
      <c r="D1961" s="249" t="s">
        <v>69</v>
      </c>
      <c r="E1961" s="255" t="s">
        <v>84</v>
      </c>
      <c r="L1961" s="264">
        <v>6000</v>
      </c>
      <c r="M1961" s="264">
        <v>0</v>
      </c>
      <c r="N1961" s="264">
        <v>0</v>
      </c>
    </row>
    <row r="1962" spans="1:14" hidden="1">
      <c r="E1962" s="255" t="s">
        <v>226</v>
      </c>
      <c r="L1962" s="264">
        <v>13272</v>
      </c>
      <c r="M1962" s="264">
        <v>0</v>
      </c>
      <c r="N1962" s="264">
        <v>0</v>
      </c>
    </row>
    <row r="1963" spans="1:14" hidden="1">
      <c r="E1963" s="255" t="s">
        <v>204</v>
      </c>
      <c r="L1963" s="264">
        <v>457958</v>
      </c>
      <c r="M1963" s="264">
        <v>55220</v>
      </c>
      <c r="N1963" s="264">
        <v>202170</v>
      </c>
    </row>
    <row r="1964" spans="1:14" hidden="1">
      <c r="E1964" s="255" t="s">
        <v>209</v>
      </c>
      <c r="L1964" s="264">
        <v>3166676</v>
      </c>
      <c r="M1964" s="264">
        <v>1220652</v>
      </c>
      <c r="N1964" s="264">
        <v>85774</v>
      </c>
    </row>
    <row r="1965" spans="1:14" ht="30" hidden="1">
      <c r="A1965" s="249" t="s">
        <v>370</v>
      </c>
      <c r="B1965" s="252" t="s">
        <v>371</v>
      </c>
      <c r="C1965" s="249">
        <v>31</v>
      </c>
      <c r="D1965" s="249" t="s">
        <v>333</v>
      </c>
      <c r="E1965" s="255" t="s">
        <v>84</v>
      </c>
      <c r="L1965" s="264">
        <v>214000</v>
      </c>
      <c r="M1965" s="264">
        <v>214000</v>
      </c>
      <c r="N1965" s="264">
        <v>214000</v>
      </c>
    </row>
    <row r="1966" spans="1:14" hidden="1">
      <c r="E1966" s="255" t="s">
        <v>226</v>
      </c>
      <c r="L1966" s="264">
        <v>383143</v>
      </c>
      <c r="M1966" s="264">
        <v>383142</v>
      </c>
      <c r="N1966" s="264">
        <v>383143</v>
      </c>
    </row>
    <row r="1967" spans="1:14" hidden="1">
      <c r="E1967" s="255" t="s">
        <v>192</v>
      </c>
      <c r="L1967" s="264">
        <v>10450</v>
      </c>
      <c r="M1967" s="264">
        <v>8917</v>
      </c>
      <c r="N1967" s="264">
        <v>7337</v>
      </c>
    </row>
    <row r="1968" spans="1:14" hidden="1">
      <c r="E1968" s="255" t="s">
        <v>367</v>
      </c>
      <c r="L1968" s="264">
        <v>7000</v>
      </c>
      <c r="M1968" s="264">
        <v>7000</v>
      </c>
      <c r="N1968" s="264">
        <v>7000</v>
      </c>
    </row>
    <row r="1969" spans="1:14" hidden="1">
      <c r="E1969" s="255" t="s">
        <v>396</v>
      </c>
      <c r="L1969" s="264">
        <v>50282</v>
      </c>
      <c r="M1969" s="264">
        <v>51941</v>
      </c>
      <c r="N1969" s="264">
        <v>53518</v>
      </c>
    </row>
    <row r="1970" spans="1:14" hidden="1">
      <c r="C1970" s="249">
        <v>52</v>
      </c>
      <c r="D1970" s="249" t="s">
        <v>69</v>
      </c>
      <c r="E1970" s="255" t="s">
        <v>84</v>
      </c>
      <c r="L1970" s="264">
        <v>28496</v>
      </c>
      <c r="M1970" s="264">
        <v>28496</v>
      </c>
      <c r="N1970" s="264">
        <v>10178</v>
      </c>
    </row>
    <row r="1971" spans="1:14" hidden="1">
      <c r="E1971" s="255" t="s">
        <v>226</v>
      </c>
      <c r="L1971" s="264">
        <v>74918</v>
      </c>
      <c r="M1971" s="264">
        <v>56153</v>
      </c>
      <c r="N1971" s="264">
        <v>26500</v>
      </c>
    </row>
    <row r="1972" spans="1:14" hidden="1">
      <c r="A1972" s="249" t="s">
        <v>440</v>
      </c>
      <c r="B1972" s="252" t="s">
        <v>441</v>
      </c>
      <c r="C1972" s="249">
        <v>11</v>
      </c>
      <c r="D1972" s="249" t="s">
        <v>100</v>
      </c>
      <c r="E1972" s="255" t="s">
        <v>226</v>
      </c>
      <c r="L1972" s="264">
        <v>980682.1</v>
      </c>
      <c r="M1972" s="264">
        <v>980682.1</v>
      </c>
      <c r="N1972" s="264">
        <v>980682.1</v>
      </c>
    </row>
    <row r="1973" spans="1:14" ht="45" hidden="1">
      <c r="A1973" s="249" t="s">
        <v>375</v>
      </c>
      <c r="B1973" s="252" t="s">
        <v>376</v>
      </c>
      <c r="C1973" s="249">
        <v>5761</v>
      </c>
      <c r="D1973" s="249" t="s">
        <v>377</v>
      </c>
      <c r="E1973" s="255" t="s">
        <v>367</v>
      </c>
      <c r="L1973" s="264">
        <v>4305702.4254439995</v>
      </c>
      <c r="M1973" s="264">
        <v>0</v>
      </c>
      <c r="N1973" s="264">
        <v>0</v>
      </c>
    </row>
    <row r="1974" spans="1:14" ht="45" hidden="1">
      <c r="A1974" s="249" t="s">
        <v>378</v>
      </c>
      <c r="B1974" s="252" t="s">
        <v>379</v>
      </c>
      <c r="C1974" s="249">
        <v>581</v>
      </c>
      <c r="D1974" s="249" t="s">
        <v>380</v>
      </c>
      <c r="E1974" s="255" t="s">
        <v>367</v>
      </c>
      <c r="L1974" s="264">
        <v>2101721.8031138927</v>
      </c>
      <c r="M1974" s="264">
        <v>1450777</v>
      </c>
      <c r="N1974" s="264">
        <v>0</v>
      </c>
    </row>
    <row r="1975" spans="1:14" ht="30" hidden="1">
      <c r="A1975" s="249" t="s">
        <v>407</v>
      </c>
      <c r="B1975" s="252" t="s">
        <v>408</v>
      </c>
      <c r="C1975" s="249">
        <v>11</v>
      </c>
      <c r="D1975" s="249" t="s">
        <v>100</v>
      </c>
      <c r="E1975" s="255" t="s">
        <v>84</v>
      </c>
      <c r="L1975" s="264">
        <v>8441504.7581449542</v>
      </c>
      <c r="M1975" s="264">
        <v>8481735.7524162158</v>
      </c>
      <c r="N1975" s="264">
        <v>8522155.2855664026</v>
      </c>
    </row>
    <row r="1976" spans="1:14" hidden="1">
      <c r="E1976" s="255" t="s">
        <v>226</v>
      </c>
      <c r="L1976" s="264">
        <v>261103.71991697536</v>
      </c>
      <c r="M1976" s="264">
        <v>262348.10259057977</v>
      </c>
      <c r="N1976" s="264">
        <v>263598.31694989034</v>
      </c>
    </row>
    <row r="1977" spans="1:14" ht="30" hidden="1">
      <c r="A1977" s="249" t="s">
        <v>381</v>
      </c>
      <c r="B1977" s="252" t="s">
        <v>382</v>
      </c>
      <c r="C1977" s="249">
        <v>11</v>
      </c>
      <c r="D1977" s="249" t="s">
        <v>100</v>
      </c>
      <c r="E1977" s="255" t="s">
        <v>226</v>
      </c>
      <c r="L1977" s="264">
        <v>2923</v>
      </c>
      <c r="M1977" s="264">
        <v>2923</v>
      </c>
      <c r="N1977" s="264">
        <v>2923</v>
      </c>
    </row>
    <row r="1978" spans="1:14" hidden="1">
      <c r="A1978" s="249" t="s">
        <v>383</v>
      </c>
      <c r="B1978" s="252" t="s">
        <v>384</v>
      </c>
      <c r="C1978" s="249">
        <v>11</v>
      </c>
      <c r="D1978" s="249" t="s">
        <v>100</v>
      </c>
      <c r="E1978" s="255" t="s">
        <v>84</v>
      </c>
      <c r="L1978" s="264">
        <v>4870.4384120000004</v>
      </c>
      <c r="M1978" s="264">
        <v>4870.4384120000004</v>
      </c>
      <c r="N1978" s="264">
        <v>4870.4384120000004</v>
      </c>
    </row>
    <row r="1979" spans="1:14" hidden="1">
      <c r="E1979" s="255" t="s">
        <v>226</v>
      </c>
      <c r="L1979" s="264">
        <v>2405.9575599999998</v>
      </c>
      <c r="M1979" s="264">
        <v>2405.9575599999998</v>
      </c>
      <c r="N1979" s="264">
        <v>2405.9575599999998</v>
      </c>
    </row>
    <row r="1980" spans="1:14" hidden="1">
      <c r="E1980" s="255" t="s">
        <v>192</v>
      </c>
      <c r="L1980" s="264">
        <v>65.025880000000001</v>
      </c>
      <c r="M1980" s="264">
        <v>65.025880000000001</v>
      </c>
      <c r="N1980" s="264">
        <v>65.025880000000001</v>
      </c>
    </row>
    <row r="1981" spans="1:14" ht="30" hidden="1">
      <c r="A1981" s="249" t="s">
        <v>365</v>
      </c>
      <c r="B1981" s="252" t="s">
        <v>366</v>
      </c>
      <c r="C1981" s="249">
        <v>11</v>
      </c>
      <c r="D1981" s="249" t="s">
        <v>100</v>
      </c>
      <c r="E1981" s="255" t="s">
        <v>84</v>
      </c>
      <c r="L1981" s="264">
        <v>169656.9782677461</v>
      </c>
      <c r="M1981" s="264">
        <v>169656.9782677461</v>
      </c>
      <c r="N1981" s="264">
        <v>169656.9782677461</v>
      </c>
    </row>
    <row r="1982" spans="1:14" hidden="1">
      <c r="E1982" s="255" t="s">
        <v>226</v>
      </c>
      <c r="L1982" s="264">
        <v>1341437.686465035</v>
      </c>
      <c r="M1982" s="264">
        <v>1341437.686465035</v>
      </c>
      <c r="N1982" s="264">
        <v>1341437.686465035</v>
      </c>
    </row>
    <row r="1983" spans="1:14" hidden="1">
      <c r="E1983" s="255" t="s">
        <v>192</v>
      </c>
      <c r="L1983" s="264">
        <v>5562.7674918154407</v>
      </c>
      <c r="M1983" s="264">
        <v>5562.7674918154407</v>
      </c>
      <c r="N1983" s="264">
        <v>5562.7674918154407</v>
      </c>
    </row>
    <row r="1984" spans="1:14" hidden="1">
      <c r="E1984" s="255" t="s">
        <v>204</v>
      </c>
      <c r="L1984" s="264">
        <v>194984.99012310465</v>
      </c>
      <c r="M1984" s="264">
        <v>194984.99012310465</v>
      </c>
      <c r="N1984" s="264">
        <v>194984.99012310465</v>
      </c>
    </row>
    <row r="1985" spans="1:14" hidden="1">
      <c r="E1985" s="255" t="s">
        <v>209</v>
      </c>
      <c r="L1985" s="264">
        <v>109018.02423482174</v>
      </c>
      <c r="M1985" s="264">
        <v>109018.02423482174</v>
      </c>
      <c r="N1985" s="264">
        <v>109018.02423482174</v>
      </c>
    </row>
    <row r="1986" spans="1:14" hidden="1">
      <c r="E1986" s="255" t="s">
        <v>283</v>
      </c>
      <c r="L1986" s="264">
        <v>4953.4884165765279</v>
      </c>
      <c r="M1986" s="264">
        <v>4953.4884165765279</v>
      </c>
      <c r="N1986" s="264">
        <v>4953.4884165765279</v>
      </c>
    </row>
    <row r="1987" spans="1:14" hidden="1">
      <c r="E1987" s="255" t="s">
        <v>367</v>
      </c>
      <c r="L1987" s="264">
        <v>537866.28389993473</v>
      </c>
      <c r="M1987" s="264">
        <v>537866.28389993473</v>
      </c>
      <c r="N1987" s="264">
        <v>537866.28389993473</v>
      </c>
    </row>
    <row r="1988" spans="1:14" ht="30" hidden="1">
      <c r="A1988" s="249" t="s">
        <v>409</v>
      </c>
      <c r="B1988" s="252" t="s">
        <v>410</v>
      </c>
      <c r="C1988" s="249">
        <v>51</v>
      </c>
      <c r="D1988" s="249" t="s">
        <v>109</v>
      </c>
      <c r="E1988" s="255" t="s">
        <v>84</v>
      </c>
      <c r="L1988" s="264">
        <v>634351</v>
      </c>
      <c r="M1988" s="264">
        <v>474885</v>
      </c>
      <c r="N1988" s="264">
        <v>362129</v>
      </c>
    </row>
    <row r="1989" spans="1:14" hidden="1">
      <c r="E1989" s="255" t="s">
        <v>226</v>
      </c>
      <c r="L1989" s="264">
        <v>443400</v>
      </c>
      <c r="M1989" s="264">
        <v>184557</v>
      </c>
      <c r="N1989" s="264">
        <v>80056</v>
      </c>
    </row>
    <row r="1990" spans="1:14" hidden="1">
      <c r="E1990" s="255" t="s">
        <v>264</v>
      </c>
      <c r="L1990" s="264">
        <v>260674</v>
      </c>
      <c r="M1990" s="264">
        <v>258941</v>
      </c>
      <c r="N1990" s="264">
        <v>0</v>
      </c>
    </row>
    <row r="1991" spans="1:14" hidden="1">
      <c r="E1991" s="255" t="s">
        <v>204</v>
      </c>
      <c r="L1991" s="264">
        <v>82864</v>
      </c>
      <c r="M1991" s="264">
        <v>82175</v>
      </c>
      <c r="N1991" s="264">
        <v>0</v>
      </c>
    </row>
    <row r="1992" spans="1:14" hidden="1">
      <c r="E1992" s="255" t="s">
        <v>367</v>
      </c>
      <c r="L1992" s="264">
        <v>38500</v>
      </c>
      <c r="M1992" s="264">
        <v>0</v>
      </c>
      <c r="N1992" s="264">
        <v>0</v>
      </c>
    </row>
    <row r="1993" spans="1:14" hidden="1">
      <c r="C1993" s="249">
        <v>52</v>
      </c>
      <c r="D1993" s="249" t="s">
        <v>69</v>
      </c>
      <c r="E1993" s="255" t="s">
        <v>84</v>
      </c>
      <c r="L1993" s="264">
        <v>159462</v>
      </c>
      <c r="M1993" s="264">
        <v>63990</v>
      </c>
      <c r="N1993" s="264">
        <v>0</v>
      </c>
    </row>
    <row r="1994" spans="1:14" hidden="1">
      <c r="E1994" s="255" t="s">
        <v>226</v>
      </c>
      <c r="L1994" s="264">
        <v>99650</v>
      </c>
      <c r="M1994" s="264">
        <v>54355</v>
      </c>
      <c r="N1994" s="264">
        <v>0</v>
      </c>
    </row>
    <row r="1995" spans="1:14" hidden="1">
      <c r="E1995" s="255" t="s">
        <v>192</v>
      </c>
      <c r="L1995" s="264">
        <v>137</v>
      </c>
      <c r="M1995" s="264">
        <v>67</v>
      </c>
      <c r="N1995" s="264">
        <v>0</v>
      </c>
    </row>
    <row r="1996" spans="1:14" hidden="1">
      <c r="E1996" s="255" t="s">
        <v>209</v>
      </c>
      <c r="L1996" s="264">
        <v>614127</v>
      </c>
      <c r="M1996" s="264">
        <v>430042</v>
      </c>
      <c r="N1996" s="264">
        <v>0</v>
      </c>
    </row>
    <row r="1997" spans="1:14" hidden="1">
      <c r="E1997" s="255" t="s">
        <v>215</v>
      </c>
      <c r="L1997" s="264">
        <v>2666</v>
      </c>
      <c r="M1997" s="264">
        <v>2666</v>
      </c>
      <c r="N1997" s="264">
        <v>0</v>
      </c>
    </row>
    <row r="1998" spans="1:14" hidden="1">
      <c r="E1998" s="255" t="s">
        <v>367</v>
      </c>
      <c r="L1998" s="264">
        <v>41466</v>
      </c>
      <c r="M1998" s="264">
        <v>3817</v>
      </c>
      <c r="N1998" s="264">
        <v>0</v>
      </c>
    </row>
    <row r="1999" spans="1:14" hidden="1">
      <c r="C1999" s="249">
        <v>61</v>
      </c>
      <c r="D1999" s="249" t="s">
        <v>276</v>
      </c>
      <c r="E1999" s="255" t="s">
        <v>84</v>
      </c>
      <c r="L1999" s="264">
        <v>70687</v>
      </c>
      <c r="M1999" s="264">
        <v>0</v>
      </c>
      <c r="N1999" s="264">
        <v>0</v>
      </c>
    </row>
    <row r="2000" spans="1:14" hidden="1">
      <c r="E2000" s="255" t="s">
        <v>226</v>
      </c>
      <c r="L2000" s="264">
        <v>86355</v>
      </c>
      <c r="M2000" s="264">
        <v>1064</v>
      </c>
      <c r="N2000" s="264">
        <v>0</v>
      </c>
    </row>
    <row r="2001" spans="1:14" ht="30" hidden="1">
      <c r="A2001" s="249" t="s">
        <v>411</v>
      </c>
      <c r="B2001" s="252" t="s">
        <v>412</v>
      </c>
      <c r="C2001" s="249">
        <v>31</v>
      </c>
      <c r="D2001" s="249" t="s">
        <v>333</v>
      </c>
      <c r="E2001" s="255" t="s">
        <v>84</v>
      </c>
      <c r="L2001" s="264">
        <v>66241</v>
      </c>
      <c r="M2001" s="264">
        <v>67024</v>
      </c>
      <c r="N2001" s="264">
        <v>69571</v>
      </c>
    </row>
    <row r="2002" spans="1:14" hidden="1">
      <c r="E2002" s="255" t="s">
        <v>226</v>
      </c>
      <c r="L2002" s="264">
        <v>212203</v>
      </c>
      <c r="M2002" s="264">
        <v>214553</v>
      </c>
      <c r="N2002" s="264">
        <v>217753</v>
      </c>
    </row>
    <row r="2003" spans="1:14" hidden="1">
      <c r="E2003" s="255" t="s">
        <v>192</v>
      </c>
      <c r="L2003" s="264">
        <v>500</v>
      </c>
      <c r="M2003" s="264">
        <v>570</v>
      </c>
      <c r="N2003" s="264">
        <v>570</v>
      </c>
    </row>
    <row r="2004" spans="1:14" hidden="1">
      <c r="E2004" s="255" t="s">
        <v>209</v>
      </c>
      <c r="L2004" s="264">
        <v>500</v>
      </c>
      <c r="M2004" s="264">
        <v>500</v>
      </c>
      <c r="N2004" s="264">
        <v>500</v>
      </c>
    </row>
    <row r="2005" spans="1:14" hidden="1">
      <c r="E2005" s="255" t="s">
        <v>367</v>
      </c>
      <c r="L2005" s="264">
        <v>5700</v>
      </c>
      <c r="M2005" s="264">
        <v>5700</v>
      </c>
      <c r="N2005" s="264">
        <v>5700</v>
      </c>
    </row>
    <row r="2006" spans="1:14" hidden="1">
      <c r="C2006" s="249">
        <v>43</v>
      </c>
      <c r="D2006" s="249" t="s">
        <v>104</v>
      </c>
      <c r="E2006" s="255" t="s">
        <v>84</v>
      </c>
      <c r="L2006" s="264">
        <v>328515</v>
      </c>
      <c r="M2006" s="264">
        <v>353315</v>
      </c>
      <c r="N2006" s="264">
        <v>292115</v>
      </c>
    </row>
    <row r="2007" spans="1:14" hidden="1">
      <c r="E2007" s="255" t="s">
        <v>226</v>
      </c>
      <c r="L2007" s="264">
        <v>913731</v>
      </c>
      <c r="M2007" s="264">
        <v>792841</v>
      </c>
      <c r="N2007" s="264">
        <v>671126</v>
      </c>
    </row>
    <row r="2008" spans="1:14" hidden="1">
      <c r="E2008" s="255" t="s">
        <v>192</v>
      </c>
      <c r="L2008" s="264">
        <v>1475</v>
      </c>
      <c r="M2008" s="264">
        <v>1475</v>
      </c>
      <c r="N2008" s="264">
        <v>1475</v>
      </c>
    </row>
    <row r="2009" spans="1:14" hidden="1">
      <c r="E2009" s="255" t="s">
        <v>204</v>
      </c>
      <c r="L2009" s="264">
        <v>53089</v>
      </c>
      <c r="M2009" s="264">
        <v>53089</v>
      </c>
      <c r="N2009" s="264">
        <v>53089</v>
      </c>
    </row>
    <row r="2010" spans="1:14" hidden="1">
      <c r="E2010" s="255" t="s">
        <v>209</v>
      </c>
      <c r="L2010" s="264">
        <v>28000</v>
      </c>
      <c r="M2010" s="264">
        <v>26500</v>
      </c>
      <c r="N2010" s="264">
        <v>26500</v>
      </c>
    </row>
    <row r="2011" spans="1:14" hidden="1">
      <c r="E2011" s="255" t="s">
        <v>283</v>
      </c>
      <c r="L2011" s="264">
        <v>63150</v>
      </c>
      <c r="M2011" s="264">
        <v>63150</v>
      </c>
      <c r="N2011" s="264">
        <v>0</v>
      </c>
    </row>
    <row r="2012" spans="1:14" hidden="1">
      <c r="E2012" s="255" t="s">
        <v>367</v>
      </c>
      <c r="L2012" s="264">
        <v>487111</v>
      </c>
      <c r="M2012" s="264">
        <v>412511</v>
      </c>
      <c r="N2012" s="264">
        <v>223211</v>
      </c>
    </row>
    <row r="2013" spans="1:14" hidden="1">
      <c r="C2013" s="249">
        <v>52</v>
      </c>
      <c r="D2013" s="249" t="s">
        <v>69</v>
      </c>
      <c r="E2013" s="255" t="s">
        <v>84</v>
      </c>
      <c r="L2013" s="264">
        <v>171795</v>
      </c>
      <c r="M2013" s="264">
        <v>174223</v>
      </c>
      <c r="N2013" s="264">
        <v>163908</v>
      </c>
    </row>
    <row r="2014" spans="1:14" hidden="1">
      <c r="E2014" s="255" t="s">
        <v>226</v>
      </c>
      <c r="L2014" s="264">
        <v>209752</v>
      </c>
      <c r="M2014" s="264">
        <v>195716</v>
      </c>
      <c r="N2014" s="264">
        <v>198644</v>
      </c>
    </row>
    <row r="2015" spans="1:14" hidden="1">
      <c r="E2015" s="255" t="s">
        <v>192</v>
      </c>
      <c r="L2015" s="264">
        <v>6475</v>
      </c>
      <c r="M2015" s="264">
        <v>3275</v>
      </c>
      <c r="N2015" s="264">
        <v>69</v>
      </c>
    </row>
    <row r="2016" spans="1:14" hidden="1">
      <c r="E2016" s="255" t="s">
        <v>209</v>
      </c>
      <c r="L2016" s="264">
        <v>201684</v>
      </c>
      <c r="M2016" s="264">
        <v>200384</v>
      </c>
      <c r="N2016" s="264">
        <v>200384</v>
      </c>
    </row>
    <row r="2017" spans="1:14" hidden="1">
      <c r="E2017" s="255" t="s">
        <v>367</v>
      </c>
      <c r="L2017" s="264">
        <v>30100</v>
      </c>
      <c r="M2017" s="264">
        <v>18600</v>
      </c>
      <c r="N2017" s="264">
        <v>17600</v>
      </c>
    </row>
    <row r="2018" spans="1:14" hidden="1">
      <c r="E2018" s="255" t="s">
        <v>396</v>
      </c>
      <c r="L2018" s="264">
        <v>88482</v>
      </c>
      <c r="M2018" s="264">
        <v>88482</v>
      </c>
      <c r="N2018" s="264">
        <v>0</v>
      </c>
    </row>
    <row r="2019" spans="1:14" hidden="1">
      <c r="C2019" s="249">
        <v>61</v>
      </c>
      <c r="D2019" s="249" t="s">
        <v>276</v>
      </c>
      <c r="E2019" s="255" t="s">
        <v>84</v>
      </c>
      <c r="L2019" s="264">
        <v>3800</v>
      </c>
      <c r="M2019" s="264">
        <v>0</v>
      </c>
      <c r="N2019" s="264">
        <v>0</v>
      </c>
    </row>
    <row r="2020" spans="1:14" hidden="1">
      <c r="E2020" s="255" t="s">
        <v>226</v>
      </c>
      <c r="L2020" s="264">
        <v>27110</v>
      </c>
      <c r="M2020" s="264">
        <v>28480</v>
      </c>
      <c r="N2020" s="264">
        <v>30030</v>
      </c>
    </row>
    <row r="2021" spans="1:14" hidden="1">
      <c r="A2021" s="249" t="s">
        <v>440</v>
      </c>
      <c r="B2021" s="252" t="s">
        <v>441</v>
      </c>
      <c r="C2021" s="249">
        <v>11</v>
      </c>
      <c r="D2021" s="249" t="s">
        <v>100</v>
      </c>
      <c r="E2021" s="255" t="s">
        <v>226</v>
      </c>
      <c r="L2021" s="264">
        <v>293385.81</v>
      </c>
      <c r="M2021" s="264">
        <v>293385.81</v>
      </c>
      <c r="N2021" s="264">
        <v>293385.81</v>
      </c>
    </row>
    <row r="2022" spans="1:14" ht="30">
      <c r="A2022" s="271" t="s">
        <v>419</v>
      </c>
      <c r="B2022" s="272" t="s">
        <v>420</v>
      </c>
      <c r="C2022" s="271">
        <v>11</v>
      </c>
      <c r="D2022" s="271" t="s">
        <v>100</v>
      </c>
      <c r="E2022" s="273" t="s">
        <v>84</v>
      </c>
      <c r="F2022" s="274">
        <f>48717251/7.5345</f>
        <v>6465890.3709602496</v>
      </c>
      <c r="G2022" s="275">
        <v>7597257</v>
      </c>
      <c r="H2022" s="274">
        <v>3530536</v>
      </c>
      <c r="I2022" s="276">
        <f>H2022/F2022*100</f>
        <v>54.602472319302251</v>
      </c>
      <c r="J2022" s="276">
        <f>H2022/G2022*100</f>
        <v>46.471193484701125</v>
      </c>
      <c r="K2022" s="277">
        <f>H2022+H2028+H2027</f>
        <v>3623297</v>
      </c>
      <c r="L2022" s="264">
        <v>7597256.6436976874</v>
      </c>
      <c r="M2022" s="264">
        <v>7633358.2179567376</v>
      </c>
      <c r="N2022" s="264">
        <v>7669629.2465946274</v>
      </c>
    </row>
    <row r="2023" spans="1:14">
      <c r="A2023" s="358"/>
      <c r="B2023" s="358"/>
      <c r="C2023" s="358"/>
      <c r="D2023" s="359"/>
      <c r="E2023" s="273" t="s">
        <v>226</v>
      </c>
      <c r="F2023" s="274">
        <f>1157976/7.5345</f>
        <v>153689.826796735</v>
      </c>
      <c r="G2023" s="275">
        <v>184265</v>
      </c>
      <c r="H2023" s="274">
        <v>142407</v>
      </c>
      <c r="I2023" s="276">
        <f t="shared" ref="I2023:I2070" si="0">H2023/F2023*100</f>
        <v>92.658702900578263</v>
      </c>
      <c r="J2023" s="276">
        <f t="shared" ref="J2023:J2070" si="1">H2023/G2023*100</f>
        <v>77.283803218191196</v>
      </c>
      <c r="K2023" s="277">
        <f>H2023+H2025+H2026+H2029</f>
        <v>657745</v>
      </c>
      <c r="L2023" s="264">
        <v>184264.63224039573</v>
      </c>
      <c r="M2023" s="264">
        <v>185140.25186013669</v>
      </c>
      <c r="N2023" s="264">
        <v>186019.9790044807</v>
      </c>
    </row>
    <row r="2024" spans="1:14">
      <c r="A2024" s="360"/>
      <c r="B2024" s="360"/>
      <c r="C2024" s="360"/>
      <c r="D2024" s="361"/>
      <c r="E2024" s="273" t="s">
        <v>215</v>
      </c>
      <c r="F2024" s="274">
        <v>0</v>
      </c>
      <c r="G2024" s="275">
        <v>94001</v>
      </c>
      <c r="H2024" s="274">
        <v>0</v>
      </c>
      <c r="I2024" s="276" t="e">
        <f t="shared" si="0"/>
        <v>#DIV/0!</v>
      </c>
      <c r="J2024" s="276">
        <f t="shared" si="1"/>
        <v>0</v>
      </c>
      <c r="L2024" s="264">
        <v>94001.396751851542</v>
      </c>
      <c r="M2024" s="264">
        <v>94448.088372908751</v>
      </c>
      <c r="N2024" s="264">
        <v>94896.875420772427</v>
      </c>
    </row>
    <row r="2025" spans="1:14" ht="30">
      <c r="A2025" s="271" t="s">
        <v>381</v>
      </c>
      <c r="B2025" s="272" t="s">
        <v>382</v>
      </c>
      <c r="C2025" s="271">
        <v>11</v>
      </c>
      <c r="D2025" s="271" t="s">
        <v>100</v>
      </c>
      <c r="E2025" s="273" t="s">
        <v>226</v>
      </c>
      <c r="F2025" s="274">
        <f>129426/7.5345</f>
        <v>17177.782201871392</v>
      </c>
      <c r="G2025" s="275">
        <v>12664</v>
      </c>
      <c r="H2025" s="274">
        <v>0</v>
      </c>
      <c r="I2025" s="276">
        <f t="shared" si="0"/>
        <v>0</v>
      </c>
      <c r="J2025" s="276">
        <f t="shared" si="1"/>
        <v>0</v>
      </c>
      <c r="L2025" s="264">
        <v>12664</v>
      </c>
      <c r="M2025" s="264">
        <v>12664</v>
      </c>
      <c r="N2025" s="264">
        <v>12664</v>
      </c>
    </row>
    <row r="2026" spans="1:14">
      <c r="A2026" s="271" t="s">
        <v>438</v>
      </c>
      <c r="B2026" s="272" t="s">
        <v>439</v>
      </c>
      <c r="C2026" s="271">
        <v>11</v>
      </c>
      <c r="D2026" s="271" t="s">
        <v>100</v>
      </c>
      <c r="E2026" s="273" t="s">
        <v>226</v>
      </c>
      <c r="F2026" s="274">
        <v>0</v>
      </c>
      <c r="G2026" s="275">
        <v>0</v>
      </c>
      <c r="H2026" s="274">
        <v>0</v>
      </c>
      <c r="I2026" s="276" t="e">
        <f t="shared" si="0"/>
        <v>#DIV/0!</v>
      </c>
      <c r="J2026" s="276" t="e">
        <f t="shared" si="1"/>
        <v>#DIV/0!</v>
      </c>
      <c r="L2026" s="264"/>
      <c r="M2026" s="264"/>
      <c r="N2026" s="264">
        <v>15927</v>
      </c>
    </row>
    <row r="2027" spans="1:14">
      <c r="A2027" s="271" t="s">
        <v>383</v>
      </c>
      <c r="B2027" s="272" t="s">
        <v>384</v>
      </c>
      <c r="C2027" s="271">
        <v>11</v>
      </c>
      <c r="D2027" s="271" t="s">
        <v>100</v>
      </c>
      <c r="E2027" s="273" t="s">
        <v>84</v>
      </c>
      <c r="F2027" s="274">
        <v>0</v>
      </c>
      <c r="G2027" s="275">
        <v>16256</v>
      </c>
      <c r="H2027" s="274">
        <v>10157</v>
      </c>
      <c r="I2027" s="276" t="e">
        <f t="shared" si="0"/>
        <v>#DIV/0!</v>
      </c>
      <c r="J2027" s="276">
        <f t="shared" si="1"/>
        <v>62.481545275590555</v>
      </c>
      <c r="L2027" s="264">
        <v>16256.47</v>
      </c>
      <c r="M2027" s="264">
        <v>16256.47</v>
      </c>
      <c r="N2027" s="264">
        <v>16256.47</v>
      </c>
    </row>
    <row r="2028" spans="1:14" ht="30">
      <c r="A2028" s="271" t="s">
        <v>365</v>
      </c>
      <c r="B2028" s="272" t="s">
        <v>366</v>
      </c>
      <c r="C2028" s="271">
        <v>11</v>
      </c>
      <c r="D2028" s="271" t="s">
        <v>100</v>
      </c>
      <c r="E2028" s="273" t="s">
        <v>84</v>
      </c>
      <c r="F2028" s="274">
        <f>1448137/7.5345</f>
        <v>192200.80960913131</v>
      </c>
      <c r="G2028" s="275">
        <v>253506</v>
      </c>
      <c r="H2028" s="274">
        <f>3623297-3530536-H2027</f>
        <v>82604</v>
      </c>
      <c r="I2028" s="276">
        <f t="shared" si="0"/>
        <v>42.977966725523906</v>
      </c>
      <c r="J2028" s="276">
        <f t="shared" si="1"/>
        <v>32.584633105330838</v>
      </c>
      <c r="L2028" s="264">
        <v>253507.33952943745</v>
      </c>
      <c r="M2028" s="264">
        <v>253507.33952943745</v>
      </c>
      <c r="N2028" s="264">
        <v>253507.33952943745</v>
      </c>
    </row>
    <row r="2029" spans="1:14">
      <c r="A2029" s="362"/>
      <c r="B2029" s="358"/>
      <c r="C2029" s="358"/>
      <c r="D2029" s="359"/>
      <c r="E2029" s="273" t="s">
        <v>226</v>
      </c>
      <c r="F2029" s="274">
        <f>9149970/7.5345</f>
        <v>1214409.7153095759</v>
      </c>
      <c r="G2029" s="275">
        <v>1239182</v>
      </c>
      <c r="H2029" s="274">
        <f>657745-H2023</f>
        <v>515338</v>
      </c>
      <c r="I2029" s="276">
        <f t="shared" si="0"/>
        <v>42.435266574644508</v>
      </c>
      <c r="J2029" s="276">
        <f t="shared" si="1"/>
        <v>41.586950100953693</v>
      </c>
      <c r="L2029" s="264">
        <v>1239182.9172430963</v>
      </c>
      <c r="M2029" s="264">
        <v>1239182.9172430963</v>
      </c>
      <c r="N2029" s="264">
        <v>1239182.9172430963</v>
      </c>
    </row>
    <row r="2030" spans="1:14">
      <c r="A2030" s="363"/>
      <c r="B2030" s="363"/>
      <c r="C2030" s="363"/>
      <c r="D2030" s="364"/>
      <c r="E2030" s="273" t="s">
        <v>192</v>
      </c>
      <c r="F2030" s="274">
        <f>168340/7.5345</f>
        <v>22342.55756851815</v>
      </c>
      <c r="G2030" s="275">
        <v>13500</v>
      </c>
      <c r="H2030" s="274">
        <v>20739</v>
      </c>
      <c r="I2030" s="276">
        <f t="shared" si="0"/>
        <v>92.822855827491978</v>
      </c>
      <c r="J2030" s="276">
        <f t="shared" si="1"/>
        <v>153.62222222222221</v>
      </c>
      <c r="L2030" s="264">
        <v>13499.960972257775</v>
      </c>
      <c r="M2030" s="264">
        <v>13499.960972257775</v>
      </c>
      <c r="N2030" s="264">
        <v>13499.960972257775</v>
      </c>
    </row>
    <row r="2031" spans="1:14">
      <c r="A2031" s="363"/>
      <c r="B2031" s="363"/>
      <c r="C2031" s="363"/>
      <c r="D2031" s="364"/>
      <c r="E2031" s="273">
        <v>36</v>
      </c>
      <c r="F2031" s="274">
        <f>2456033.7/7.5345</f>
        <v>325971.69022496516</v>
      </c>
      <c r="G2031" s="275">
        <v>0</v>
      </c>
      <c r="H2031" s="274">
        <v>869675</v>
      </c>
      <c r="I2031" s="276">
        <f t="shared" si="0"/>
        <v>266.79464078607714</v>
      </c>
      <c r="J2031" s="276" t="e">
        <f t="shared" si="1"/>
        <v>#DIV/0!</v>
      </c>
      <c r="L2031" s="264"/>
      <c r="M2031" s="264"/>
      <c r="N2031" s="264"/>
    </row>
    <row r="2032" spans="1:14">
      <c r="A2032" s="363"/>
      <c r="B2032" s="363"/>
      <c r="C2032" s="363"/>
      <c r="D2032" s="364"/>
      <c r="E2032" s="273" t="s">
        <v>209</v>
      </c>
      <c r="F2032" s="274">
        <f>940628.5/7.5345</f>
        <v>124842.85619483708</v>
      </c>
      <c r="G2032" s="275">
        <v>112591</v>
      </c>
      <c r="H2032" s="274">
        <v>85984</v>
      </c>
      <c r="I2032" s="276">
        <f t="shared" si="0"/>
        <v>68.873784708840958</v>
      </c>
      <c r="J2032" s="276">
        <f t="shared" si="1"/>
        <v>76.368448632661583</v>
      </c>
      <c r="L2032" s="264">
        <v>112590.76428043043</v>
      </c>
      <c r="M2032" s="264">
        <v>112590.76428043043</v>
      </c>
      <c r="N2032" s="264">
        <v>112590.76428043043</v>
      </c>
    </row>
    <row r="2033" spans="1:14">
      <c r="A2033" s="363"/>
      <c r="B2033" s="363"/>
      <c r="C2033" s="363"/>
      <c r="D2033" s="364"/>
      <c r="E2033" s="273" t="s">
        <v>283</v>
      </c>
      <c r="F2033" s="274">
        <f>48750/7.5345</f>
        <v>6470.2369102130197</v>
      </c>
      <c r="G2033" s="275">
        <v>5479</v>
      </c>
      <c r="H2033" s="274">
        <v>0</v>
      </c>
      <c r="I2033" s="276">
        <f t="shared" si="0"/>
        <v>0</v>
      </c>
      <c r="J2033" s="276">
        <f t="shared" si="1"/>
        <v>0</v>
      </c>
      <c r="L2033" s="264">
        <v>5478.5800520977609</v>
      </c>
      <c r="M2033" s="264">
        <v>5478.5800520977609</v>
      </c>
      <c r="N2033" s="264">
        <v>5478.5800520977609</v>
      </c>
    </row>
    <row r="2034" spans="1:14">
      <c r="A2034" s="363"/>
      <c r="B2034" s="363"/>
      <c r="C2034" s="363"/>
      <c r="D2034" s="364"/>
      <c r="E2034" s="273" t="s">
        <v>367</v>
      </c>
      <c r="F2034" s="274">
        <f>1712297/7.5345</f>
        <v>227260.86667993895</v>
      </c>
      <c r="G2034" s="275">
        <v>254019</v>
      </c>
      <c r="H2034" s="274">
        <v>39097</v>
      </c>
      <c r="I2034" s="276">
        <f t="shared" si="0"/>
        <v>17.203577796375278</v>
      </c>
      <c r="J2034" s="276">
        <f t="shared" si="1"/>
        <v>15.391368362209127</v>
      </c>
      <c r="L2034" s="264">
        <v>254020.02762653699</v>
      </c>
      <c r="M2034" s="264">
        <v>254020.02762653699</v>
      </c>
      <c r="N2034" s="264">
        <v>254020.02762653699</v>
      </c>
    </row>
    <row r="2035" spans="1:14">
      <c r="A2035" s="363"/>
      <c r="B2035" s="363"/>
      <c r="C2035" s="363"/>
      <c r="D2035" s="364"/>
      <c r="E2035" s="273" t="s">
        <v>242</v>
      </c>
      <c r="F2035" s="274">
        <v>0</v>
      </c>
      <c r="G2035" s="275">
        <v>110</v>
      </c>
      <c r="H2035" s="274">
        <v>0</v>
      </c>
      <c r="I2035" s="276" t="e">
        <f t="shared" si="0"/>
        <v>#DIV/0!</v>
      </c>
      <c r="J2035" s="276">
        <f t="shared" si="1"/>
        <v>0</v>
      </c>
      <c r="L2035" s="264">
        <v>109.8027647572336</v>
      </c>
      <c r="M2035" s="264">
        <v>109.8027647572336</v>
      </c>
      <c r="N2035" s="264">
        <v>109.8027647572336</v>
      </c>
    </row>
    <row r="2036" spans="1:14">
      <c r="A2036" s="360"/>
      <c r="B2036" s="360"/>
      <c r="C2036" s="360"/>
      <c r="D2036" s="361"/>
      <c r="E2036" s="273" t="s">
        <v>322</v>
      </c>
      <c r="F2036" s="274">
        <v>0</v>
      </c>
      <c r="G2036" s="275">
        <v>5479</v>
      </c>
      <c r="H2036" s="274">
        <v>0</v>
      </c>
      <c r="I2036" s="276" t="e">
        <f t="shared" si="0"/>
        <v>#DIV/0!</v>
      </c>
      <c r="J2036" s="276">
        <f t="shared" si="1"/>
        <v>0</v>
      </c>
      <c r="L2036" s="264">
        <v>5478.5800520977609</v>
      </c>
      <c r="M2036" s="264">
        <v>5478.5800520977609</v>
      </c>
      <c r="N2036" s="264">
        <v>5478.5800520977609</v>
      </c>
    </row>
    <row r="2037" spans="1:14" ht="30">
      <c r="A2037" s="271" t="s">
        <v>423</v>
      </c>
      <c r="B2037" s="272" t="s">
        <v>424</v>
      </c>
      <c r="C2037" s="271">
        <v>52</v>
      </c>
      <c r="D2037" s="271" t="s">
        <v>69</v>
      </c>
      <c r="E2037" s="273" t="s">
        <v>84</v>
      </c>
      <c r="F2037" s="274">
        <f>526374/7.5345</f>
        <v>69861.835556440376</v>
      </c>
      <c r="G2037" s="275">
        <v>63763</v>
      </c>
      <c r="H2037" s="274">
        <v>72739</v>
      </c>
      <c r="I2037" s="276">
        <f t="shared" si="0"/>
        <v>104.11836365397986</v>
      </c>
      <c r="J2037" s="276">
        <f t="shared" si="1"/>
        <v>114.07712936969716</v>
      </c>
      <c r="L2037" s="264">
        <v>63763</v>
      </c>
      <c r="M2037" s="264">
        <v>0</v>
      </c>
      <c r="N2037" s="264">
        <v>0</v>
      </c>
    </row>
    <row r="2038" spans="1:14">
      <c r="A2038" s="349"/>
      <c r="B2038" s="349"/>
      <c r="C2038" s="349"/>
      <c r="D2038" s="350"/>
      <c r="E2038" s="273" t="s">
        <v>226</v>
      </c>
      <c r="F2038" s="274">
        <f>2339535/7.5345</f>
        <v>310509.65558431216</v>
      </c>
      <c r="G2038" s="275">
        <v>319595</v>
      </c>
      <c r="H2038" s="274">
        <f>147966-53293</f>
        <v>94673</v>
      </c>
      <c r="I2038" s="276">
        <f t="shared" si="0"/>
        <v>30.489551064634639</v>
      </c>
      <c r="J2038" s="276">
        <f t="shared" si="1"/>
        <v>29.622803861136752</v>
      </c>
      <c r="L2038" s="264">
        <v>319595</v>
      </c>
      <c r="M2038" s="264">
        <v>0</v>
      </c>
      <c r="N2038" s="264">
        <v>0</v>
      </c>
    </row>
    <row r="2039" spans="1:14">
      <c r="A2039" s="348"/>
      <c r="B2039" s="348"/>
      <c r="C2039" s="348"/>
      <c r="D2039" s="351"/>
      <c r="E2039" s="273">
        <v>34</v>
      </c>
      <c r="F2039" s="274"/>
      <c r="G2039" s="275"/>
      <c r="H2039" s="274">
        <v>45</v>
      </c>
      <c r="I2039" s="276"/>
      <c r="J2039" s="276"/>
      <c r="L2039" s="264"/>
      <c r="M2039" s="264"/>
      <c r="N2039" s="264"/>
    </row>
    <row r="2040" spans="1:14">
      <c r="A2040" s="348"/>
      <c r="B2040" s="348"/>
      <c r="C2040" s="348"/>
      <c r="D2040" s="351"/>
      <c r="E2040" s="273" t="s">
        <v>204</v>
      </c>
      <c r="F2040" s="274">
        <v>602251</v>
      </c>
      <c r="G2040" s="275">
        <v>46486</v>
      </c>
      <c r="H2040" s="274">
        <v>296262</v>
      </c>
      <c r="I2040" s="276">
        <f t="shared" si="0"/>
        <v>49.192446338818861</v>
      </c>
      <c r="J2040" s="276">
        <f t="shared" si="1"/>
        <v>637.31446026760739</v>
      </c>
      <c r="L2040" s="264">
        <v>46486</v>
      </c>
      <c r="M2040" s="264">
        <v>0</v>
      </c>
      <c r="N2040" s="264">
        <v>0</v>
      </c>
    </row>
    <row r="2041" spans="1:14">
      <c r="A2041" s="348"/>
      <c r="B2041" s="348"/>
      <c r="C2041" s="348"/>
      <c r="D2041" s="351"/>
      <c r="E2041" s="273" t="s">
        <v>209</v>
      </c>
      <c r="F2041" s="274">
        <f>3451449/7.5345</f>
        <v>458086.00437985267</v>
      </c>
      <c r="G2041" s="275">
        <v>782172</v>
      </c>
      <c r="H2041" s="274">
        <f>216810-47102</f>
        <v>169708</v>
      </c>
      <c r="I2041" s="276">
        <f t="shared" si="0"/>
        <v>37.047191657764614</v>
      </c>
      <c r="J2041" s="276">
        <f t="shared" si="1"/>
        <v>21.697018047181437</v>
      </c>
      <c r="L2041" s="264">
        <v>782172</v>
      </c>
      <c r="M2041" s="264">
        <v>0</v>
      </c>
      <c r="N2041" s="264">
        <v>0</v>
      </c>
    </row>
    <row r="2042" spans="1:14">
      <c r="A2042" s="352"/>
      <c r="B2042" s="352"/>
      <c r="C2042" s="352"/>
      <c r="D2042" s="353"/>
      <c r="E2042" s="273" t="s">
        <v>367</v>
      </c>
      <c r="F2042" s="274">
        <v>15822</v>
      </c>
      <c r="G2042" s="275">
        <v>41940</v>
      </c>
      <c r="H2042" s="274">
        <v>39141</v>
      </c>
      <c r="I2042" s="276">
        <f t="shared" si="0"/>
        <v>247.38339021615471</v>
      </c>
      <c r="J2042" s="276">
        <f t="shared" si="1"/>
        <v>93.326180257510728</v>
      </c>
      <c r="L2042" s="264">
        <v>41940</v>
      </c>
      <c r="M2042" s="264">
        <v>0</v>
      </c>
      <c r="N2042" s="264">
        <v>0</v>
      </c>
    </row>
    <row r="2043" spans="1:14" ht="30">
      <c r="A2043" s="271" t="s">
        <v>421</v>
      </c>
      <c r="B2043" s="272" t="s">
        <v>422</v>
      </c>
      <c r="C2043" s="271">
        <v>31</v>
      </c>
      <c r="D2043" s="271" t="s">
        <v>333</v>
      </c>
      <c r="E2043" s="273" t="s">
        <v>84</v>
      </c>
      <c r="F2043" s="274">
        <v>173987</v>
      </c>
      <c r="G2043" s="275">
        <v>171982</v>
      </c>
      <c r="H2043" s="274">
        <v>96231</v>
      </c>
      <c r="I2043" s="276">
        <f t="shared" si="0"/>
        <v>55.309304718168598</v>
      </c>
      <c r="J2043" s="276">
        <f t="shared" si="1"/>
        <v>55.954111476782451</v>
      </c>
      <c r="L2043" s="264">
        <v>171982</v>
      </c>
      <c r="M2043" s="264">
        <v>174416</v>
      </c>
      <c r="N2043" s="264">
        <v>175416</v>
      </c>
    </row>
    <row r="2044" spans="1:14">
      <c r="A2044" s="349"/>
      <c r="B2044" s="349"/>
      <c r="C2044" s="349"/>
      <c r="D2044" s="350"/>
      <c r="E2044" s="273" t="s">
        <v>226</v>
      </c>
      <c r="F2044" s="274">
        <f>499406/7.5345</f>
        <v>66282.566859114741</v>
      </c>
      <c r="G2044" s="275">
        <v>50901</v>
      </c>
      <c r="H2044" s="274">
        <v>70023</v>
      </c>
      <c r="I2044" s="276">
        <f t="shared" si="0"/>
        <v>105.64316277737953</v>
      </c>
      <c r="J2044" s="276">
        <f t="shared" si="1"/>
        <v>137.56704190487417</v>
      </c>
      <c r="L2044" s="264">
        <v>50901</v>
      </c>
      <c r="M2044" s="264">
        <v>51387</v>
      </c>
      <c r="N2044" s="264">
        <v>52872</v>
      </c>
    </row>
    <row r="2045" spans="1:14">
      <c r="A2045" s="348"/>
      <c r="B2045" s="348"/>
      <c r="C2045" s="348"/>
      <c r="D2045" s="351"/>
      <c r="E2045" s="273" t="s">
        <v>192</v>
      </c>
      <c r="F2045" s="274">
        <f>1782/7.5345</f>
        <v>236.51204459486362</v>
      </c>
      <c r="G2045" s="275">
        <v>199</v>
      </c>
      <c r="H2045" s="274">
        <v>134</v>
      </c>
      <c r="I2045" s="276">
        <f t="shared" si="0"/>
        <v>56.656734006734013</v>
      </c>
      <c r="J2045" s="276">
        <f t="shared" si="1"/>
        <v>67.336683417085425</v>
      </c>
      <c r="L2045" s="264">
        <v>199</v>
      </c>
      <c r="M2045" s="264">
        <v>205</v>
      </c>
      <c r="N2045" s="264">
        <v>217</v>
      </c>
    </row>
    <row r="2046" spans="1:14">
      <c r="A2046" s="348"/>
      <c r="B2046" s="348"/>
      <c r="C2046" s="348"/>
      <c r="D2046" s="351"/>
      <c r="E2046" s="273">
        <v>37</v>
      </c>
      <c r="F2046" s="274">
        <v>796</v>
      </c>
      <c r="G2046" s="275">
        <v>0</v>
      </c>
      <c r="H2046" s="274">
        <v>0</v>
      </c>
      <c r="I2046" s="276">
        <f t="shared" si="0"/>
        <v>0</v>
      </c>
      <c r="J2046" s="276" t="e">
        <f t="shared" si="1"/>
        <v>#DIV/0!</v>
      </c>
      <c r="L2046" s="264"/>
      <c r="M2046" s="264"/>
      <c r="N2046" s="264"/>
    </row>
    <row r="2047" spans="1:14">
      <c r="A2047" s="348"/>
      <c r="B2047" s="348"/>
      <c r="C2047" s="348"/>
      <c r="D2047" s="351"/>
      <c r="E2047" s="273" t="s">
        <v>215</v>
      </c>
      <c r="F2047" s="274">
        <f>5500/7.5345</f>
        <v>729.97544628044329</v>
      </c>
      <c r="G2047" s="275">
        <v>7963</v>
      </c>
      <c r="H2047" s="274">
        <v>1827</v>
      </c>
      <c r="I2047" s="276">
        <f t="shared" si="0"/>
        <v>250.28239090909091</v>
      </c>
      <c r="J2047" s="276">
        <f t="shared" si="1"/>
        <v>22.943614215747836</v>
      </c>
      <c r="L2047" s="264">
        <v>7963</v>
      </c>
      <c r="M2047" s="264">
        <v>8202</v>
      </c>
      <c r="N2047" s="264">
        <v>8202</v>
      </c>
    </row>
    <row r="2048" spans="1:14">
      <c r="A2048" s="348"/>
      <c r="B2048" s="348"/>
      <c r="C2048" s="348"/>
      <c r="D2048" s="351"/>
      <c r="E2048" s="273" t="s">
        <v>283</v>
      </c>
      <c r="F2048" s="274">
        <v>0</v>
      </c>
      <c r="G2048" s="275"/>
      <c r="H2048" s="274">
        <v>0</v>
      </c>
      <c r="I2048" s="276" t="e">
        <f t="shared" si="0"/>
        <v>#DIV/0!</v>
      </c>
      <c r="J2048" s="276" t="e">
        <f t="shared" si="1"/>
        <v>#DIV/0!</v>
      </c>
      <c r="L2048" s="264">
        <v>0</v>
      </c>
      <c r="M2048" s="264"/>
      <c r="N2048" s="264"/>
    </row>
    <row r="2049" spans="1:14">
      <c r="A2049" s="348"/>
      <c r="B2049" s="348"/>
      <c r="C2049" s="352"/>
      <c r="D2049" s="353"/>
      <c r="E2049" s="273" t="s">
        <v>367</v>
      </c>
      <c r="F2049" s="274">
        <f>181119/7.5345</f>
        <v>24038.622337248657</v>
      </c>
      <c r="G2049" s="275">
        <v>38884</v>
      </c>
      <c r="H2049" s="274">
        <v>0</v>
      </c>
      <c r="I2049" s="276">
        <f t="shared" si="0"/>
        <v>0</v>
      </c>
      <c r="J2049" s="276">
        <f t="shared" si="1"/>
        <v>0</v>
      </c>
      <c r="L2049" s="264">
        <v>38884</v>
      </c>
      <c r="M2049" s="264">
        <v>15750</v>
      </c>
      <c r="N2049" s="264">
        <v>15760</v>
      </c>
    </row>
    <row r="2050" spans="1:14">
      <c r="A2050" s="278"/>
      <c r="B2050" s="279"/>
      <c r="C2050" s="271">
        <v>43</v>
      </c>
      <c r="D2050" s="271" t="s">
        <v>104</v>
      </c>
      <c r="E2050" s="273" t="s">
        <v>84</v>
      </c>
      <c r="F2050" s="274">
        <f>672644/7.5345</f>
        <v>89275.200743247726</v>
      </c>
      <c r="G2050" s="275">
        <v>35252</v>
      </c>
      <c r="H2050" s="274">
        <v>19254</v>
      </c>
      <c r="I2050" s="276">
        <f t="shared" si="0"/>
        <v>21.567019552690578</v>
      </c>
      <c r="J2050" s="276">
        <f t="shared" si="1"/>
        <v>54.618177692045847</v>
      </c>
      <c r="L2050" s="264">
        <v>35252</v>
      </c>
      <c r="M2050" s="264">
        <v>36179</v>
      </c>
      <c r="N2050" s="264">
        <v>36248</v>
      </c>
    </row>
    <row r="2051" spans="1:14">
      <c r="A2051" s="347"/>
      <c r="B2051" s="348"/>
      <c r="C2051" s="349"/>
      <c r="D2051" s="350"/>
      <c r="E2051" s="273" t="s">
        <v>226</v>
      </c>
      <c r="F2051" s="274">
        <f>6435585/7.5345</f>
        <v>854148.91499104118</v>
      </c>
      <c r="G2051" s="275">
        <v>787492</v>
      </c>
      <c r="H2051" s="274">
        <v>485542</v>
      </c>
      <c r="I2051" s="276">
        <f t="shared" si="0"/>
        <v>56.84512284431019</v>
      </c>
      <c r="J2051" s="276">
        <f t="shared" si="1"/>
        <v>61.656753338446613</v>
      </c>
      <c r="L2051" s="264">
        <v>787492</v>
      </c>
      <c r="M2051" s="264">
        <v>789204</v>
      </c>
      <c r="N2051" s="264">
        <v>796100</v>
      </c>
    </row>
    <row r="2052" spans="1:14">
      <c r="A2052" s="348"/>
      <c r="B2052" s="348"/>
      <c r="C2052" s="348"/>
      <c r="D2052" s="351"/>
      <c r="E2052" s="273" t="s">
        <v>192</v>
      </c>
      <c r="F2052" s="274">
        <f>30054/7.5345</f>
        <v>3988.8512840931712</v>
      </c>
      <c r="G2052" s="275">
        <v>18859</v>
      </c>
      <c r="H2052" s="274">
        <v>1763</v>
      </c>
      <c r="I2052" s="276">
        <f t="shared" si="0"/>
        <v>44.198188261129964</v>
      </c>
      <c r="J2052" s="276">
        <f t="shared" si="1"/>
        <v>9.3483217561906784</v>
      </c>
      <c r="L2052" s="264">
        <v>18859</v>
      </c>
      <c r="M2052" s="264">
        <v>19361</v>
      </c>
      <c r="N2052" s="264">
        <v>19369</v>
      </c>
    </row>
    <row r="2053" spans="1:14">
      <c r="A2053" s="348"/>
      <c r="B2053" s="348"/>
      <c r="C2053" s="348"/>
      <c r="D2053" s="351"/>
      <c r="E2053" s="273" t="s">
        <v>209</v>
      </c>
      <c r="F2053" s="274">
        <f>120930/7.5345</f>
        <v>16050.169221580727</v>
      </c>
      <c r="G2053" s="275">
        <v>74395</v>
      </c>
      <c r="H2053" s="274">
        <v>10940</v>
      </c>
      <c r="I2053" s="276">
        <f t="shared" si="0"/>
        <v>68.161275117836766</v>
      </c>
      <c r="J2053" s="276">
        <f t="shared" si="1"/>
        <v>14.705289333960616</v>
      </c>
      <c r="L2053" s="264">
        <v>74395</v>
      </c>
      <c r="M2053" s="264">
        <v>74533</v>
      </c>
      <c r="N2053" s="264">
        <v>74569</v>
      </c>
    </row>
    <row r="2054" spans="1:14">
      <c r="A2054" s="348"/>
      <c r="B2054" s="348"/>
      <c r="C2054" s="348"/>
      <c r="D2054" s="351"/>
      <c r="E2054" s="273" t="s">
        <v>215</v>
      </c>
      <c r="F2054" s="274">
        <f>53000/7.5345</f>
        <v>7034.3088459751807</v>
      </c>
      <c r="G2054" s="275">
        <v>7962</v>
      </c>
      <c r="H2054" s="274">
        <v>200</v>
      </c>
      <c r="I2054" s="276">
        <f t="shared" si="0"/>
        <v>2.8432075471698113</v>
      </c>
      <c r="J2054" s="276">
        <f t="shared" si="1"/>
        <v>2.5119316754584275</v>
      </c>
      <c r="L2054" s="264">
        <v>7962</v>
      </c>
      <c r="M2054" s="264">
        <v>7962</v>
      </c>
      <c r="N2054" s="264">
        <v>7962</v>
      </c>
    </row>
    <row r="2055" spans="1:14">
      <c r="A2055" s="348"/>
      <c r="B2055" s="348"/>
      <c r="C2055" s="348"/>
      <c r="D2055" s="351"/>
      <c r="E2055" s="273" t="s">
        <v>367</v>
      </c>
      <c r="F2055" s="274">
        <f>265949/7.5345</f>
        <v>35297.498175061381</v>
      </c>
      <c r="G2055" s="275">
        <v>43273</v>
      </c>
      <c r="H2055" s="274">
        <v>46805</v>
      </c>
      <c r="I2055" s="276">
        <f t="shared" si="0"/>
        <v>132.60146588255643</v>
      </c>
      <c r="J2055" s="276">
        <f t="shared" si="1"/>
        <v>108.16213343193215</v>
      </c>
      <c r="L2055" s="264">
        <v>43273</v>
      </c>
      <c r="M2055" s="264">
        <v>43515</v>
      </c>
      <c r="N2055" s="264">
        <v>44202</v>
      </c>
    </row>
    <row r="2056" spans="1:14">
      <c r="A2056" s="348"/>
      <c r="B2056" s="348"/>
      <c r="C2056" s="352"/>
      <c r="D2056" s="353"/>
      <c r="E2056" s="273" t="s">
        <v>322</v>
      </c>
      <c r="F2056" s="274">
        <v>0</v>
      </c>
      <c r="G2056" s="275">
        <v>2000</v>
      </c>
      <c r="H2056" s="274">
        <v>0</v>
      </c>
      <c r="I2056" s="276" t="e">
        <f t="shared" si="0"/>
        <v>#DIV/0!</v>
      </c>
      <c r="J2056" s="276">
        <f t="shared" si="1"/>
        <v>0</v>
      </c>
      <c r="L2056" s="264">
        <v>2000</v>
      </c>
      <c r="M2056" s="264">
        <v>2000</v>
      </c>
      <c r="N2056" s="264">
        <v>2000</v>
      </c>
    </row>
    <row r="2057" spans="1:14">
      <c r="A2057" s="278"/>
      <c r="B2057" s="279"/>
      <c r="C2057" s="271">
        <v>52</v>
      </c>
      <c r="D2057" s="271" t="s">
        <v>69</v>
      </c>
      <c r="E2057" s="273" t="s">
        <v>84</v>
      </c>
      <c r="F2057" s="274">
        <f>923817/7.5345</f>
        <v>122611.58670117459</v>
      </c>
      <c r="G2057" s="275">
        <v>126845</v>
      </c>
      <c r="H2057" s="274">
        <f>87199-72739</f>
        <v>14460</v>
      </c>
      <c r="I2057" s="276">
        <f t="shared" si="0"/>
        <v>11.793338940504452</v>
      </c>
      <c r="J2057" s="276">
        <f t="shared" si="1"/>
        <v>11.399739839962159</v>
      </c>
      <c r="L2057" s="264">
        <v>126845</v>
      </c>
      <c r="M2057" s="264">
        <v>93874</v>
      </c>
      <c r="N2057" s="264">
        <v>48203</v>
      </c>
    </row>
    <row r="2058" spans="1:14">
      <c r="A2058" s="348"/>
      <c r="B2058" s="348"/>
      <c r="C2058" s="349"/>
      <c r="D2058" s="350"/>
      <c r="E2058" s="273" t="s">
        <v>226</v>
      </c>
      <c r="F2058" s="274">
        <f>702770/7.5345</f>
        <v>93273.608069546754</v>
      </c>
      <c r="G2058" s="275">
        <v>21965</v>
      </c>
      <c r="H2058" s="274">
        <v>53293</v>
      </c>
      <c r="I2058" s="276">
        <f t="shared" si="0"/>
        <v>57.136205088435766</v>
      </c>
      <c r="J2058" s="276">
        <f t="shared" si="1"/>
        <v>242.62690644206691</v>
      </c>
      <c r="L2058" s="264">
        <v>21965</v>
      </c>
      <c r="M2058" s="264">
        <v>2389</v>
      </c>
      <c r="N2058" s="264">
        <v>1593</v>
      </c>
    </row>
    <row r="2059" spans="1:14">
      <c r="A2059" s="348"/>
      <c r="B2059" s="348"/>
      <c r="C2059" s="348"/>
      <c r="D2059" s="351"/>
      <c r="E2059" s="273">
        <v>34</v>
      </c>
      <c r="F2059" s="274">
        <v>2581</v>
      </c>
      <c r="G2059" s="275"/>
      <c r="H2059" s="274"/>
      <c r="I2059" s="276"/>
      <c r="J2059" s="276"/>
      <c r="L2059" s="264"/>
      <c r="M2059" s="264"/>
      <c r="N2059" s="264"/>
    </row>
    <row r="2060" spans="1:14">
      <c r="A2060" s="352"/>
      <c r="B2060" s="352"/>
      <c r="C2060" s="352"/>
      <c r="D2060" s="353"/>
      <c r="E2060" s="273" t="s">
        <v>209</v>
      </c>
      <c r="F2060" s="274">
        <f>604578/7.5345</f>
        <v>80241.290065697787</v>
      </c>
      <c r="G2060" s="275">
        <v>47780</v>
      </c>
      <c r="H2060" s="274">
        <f>47102</f>
        <v>47102</v>
      </c>
      <c r="I2060" s="276">
        <f t="shared" si="0"/>
        <v>58.700452050852</v>
      </c>
      <c r="J2060" s="276">
        <f t="shared" si="1"/>
        <v>98.580996232733369</v>
      </c>
      <c r="L2060" s="264">
        <v>47780</v>
      </c>
      <c r="M2060" s="264">
        <v>46453</v>
      </c>
      <c r="N2060" s="264">
        <v>46453</v>
      </c>
    </row>
    <row r="2061" spans="1:14">
      <c r="A2061" s="271" t="s">
        <v>440</v>
      </c>
      <c r="B2061" s="272" t="s">
        <v>441</v>
      </c>
      <c r="C2061" s="271">
        <v>11</v>
      </c>
      <c r="D2061" s="271" t="s">
        <v>100</v>
      </c>
      <c r="E2061" s="273" t="s">
        <v>226</v>
      </c>
      <c r="F2061" s="274">
        <v>0</v>
      </c>
      <c r="G2061" s="275">
        <v>150750</v>
      </c>
      <c r="H2061" s="274">
        <v>0</v>
      </c>
      <c r="I2061" s="276" t="e">
        <f t="shared" si="0"/>
        <v>#DIV/0!</v>
      </c>
      <c r="J2061" s="276">
        <f t="shared" si="1"/>
        <v>0</v>
      </c>
      <c r="L2061" s="264">
        <v>150750.15</v>
      </c>
      <c r="M2061" s="264">
        <v>150750.15</v>
      </c>
      <c r="N2061" s="264">
        <v>150750.15</v>
      </c>
    </row>
    <row r="2062" spans="1:14" ht="30">
      <c r="A2062" s="271" t="s">
        <v>372</v>
      </c>
      <c r="B2062" s="272" t="s">
        <v>373</v>
      </c>
      <c r="C2062" s="271">
        <v>12</v>
      </c>
      <c r="D2062" s="280" t="s">
        <v>102</v>
      </c>
      <c r="E2062" s="273" t="s">
        <v>226</v>
      </c>
      <c r="F2062" s="274">
        <f>20135/7.5345</f>
        <v>2672.3737474284953</v>
      </c>
      <c r="G2062" s="275">
        <v>25865</v>
      </c>
      <c r="H2062" s="274">
        <v>0</v>
      </c>
      <c r="I2062" s="276">
        <f t="shared" si="0"/>
        <v>0</v>
      </c>
      <c r="J2062" s="276">
        <f t="shared" si="1"/>
        <v>0</v>
      </c>
      <c r="L2062" s="264">
        <v>25865</v>
      </c>
      <c r="M2062" s="264">
        <v>0</v>
      </c>
      <c r="N2062" s="264">
        <v>0</v>
      </c>
    </row>
    <row r="2063" spans="1:14">
      <c r="A2063" s="348"/>
      <c r="B2063" s="348"/>
      <c r="C2063" s="278"/>
      <c r="D2063" s="278"/>
      <c r="E2063" s="273" t="s">
        <v>367</v>
      </c>
      <c r="F2063" s="274">
        <f>781644/7.5345</f>
        <v>103741.98686044196</v>
      </c>
      <c r="G2063" s="275">
        <v>85930</v>
      </c>
      <c r="H2063" s="274">
        <v>0</v>
      </c>
      <c r="I2063" s="276">
        <f t="shared" si="0"/>
        <v>0</v>
      </c>
      <c r="J2063" s="276">
        <f t="shared" si="1"/>
        <v>0</v>
      </c>
      <c r="L2063" s="264">
        <v>85930</v>
      </c>
      <c r="M2063" s="264">
        <v>0</v>
      </c>
      <c r="N2063" s="264">
        <v>0</v>
      </c>
    </row>
    <row r="2064" spans="1:14">
      <c r="A2064" s="348"/>
      <c r="B2064" s="348"/>
      <c r="C2064" s="271">
        <v>563</v>
      </c>
      <c r="D2064" s="280" t="s">
        <v>374</v>
      </c>
      <c r="E2064" s="273" t="s">
        <v>84</v>
      </c>
      <c r="F2064" s="274">
        <f>141515/7.5345</f>
        <v>18782.268232795806</v>
      </c>
      <c r="G2064" s="275">
        <v>103000</v>
      </c>
      <c r="H2064" s="274">
        <v>10100</v>
      </c>
      <c r="I2064" s="276">
        <f t="shared" si="0"/>
        <v>53.774122884499874</v>
      </c>
      <c r="J2064" s="276">
        <f t="shared" si="1"/>
        <v>9.8058252427184467</v>
      </c>
      <c r="L2064" s="264">
        <v>103000</v>
      </c>
      <c r="M2064" s="264">
        <v>0</v>
      </c>
      <c r="N2064" s="264">
        <v>0</v>
      </c>
    </row>
    <row r="2065" spans="1:14">
      <c r="A2065" s="348"/>
      <c r="B2065" s="348"/>
      <c r="C2065" s="348"/>
      <c r="D2065" s="348"/>
      <c r="E2065" s="273" t="s">
        <v>226</v>
      </c>
      <c r="F2065" s="274">
        <f>1149310/7.5345</f>
        <v>152539.65093901387</v>
      </c>
      <c r="G2065" s="275">
        <f>113707-6636+25965</f>
        <v>133036</v>
      </c>
      <c r="H2065" s="274">
        <v>48597</v>
      </c>
      <c r="I2065" s="276">
        <f t="shared" si="0"/>
        <v>31.85860181326187</v>
      </c>
      <c r="J2065" s="276">
        <f t="shared" si="1"/>
        <v>36.529210138609095</v>
      </c>
      <c r="L2065" s="264">
        <v>133036</v>
      </c>
      <c r="M2065" s="264">
        <v>0</v>
      </c>
      <c r="N2065" s="264">
        <v>0</v>
      </c>
    </row>
    <row r="2066" spans="1:14">
      <c r="A2066" s="348"/>
      <c r="B2066" s="348"/>
      <c r="C2066" s="348"/>
      <c r="D2066" s="348"/>
      <c r="E2066" s="273">
        <v>34</v>
      </c>
      <c r="F2066" s="274">
        <v>298</v>
      </c>
      <c r="G2066" s="275">
        <v>0</v>
      </c>
      <c r="H2066" s="274">
        <v>351</v>
      </c>
      <c r="I2066" s="276"/>
      <c r="J2066" s="276"/>
      <c r="L2066" s="264"/>
      <c r="M2066" s="264"/>
      <c r="N2066" s="264"/>
    </row>
    <row r="2067" spans="1:14">
      <c r="A2067" s="348"/>
      <c r="B2067" s="348"/>
      <c r="C2067" s="348"/>
      <c r="D2067" s="348"/>
      <c r="E2067" s="273" t="s">
        <v>264</v>
      </c>
      <c r="F2067" s="274">
        <f>1088467/7.5345</f>
        <v>144464.39710664278</v>
      </c>
      <c r="G2067" s="275">
        <v>92906</v>
      </c>
      <c r="H2067" s="274">
        <v>0</v>
      </c>
      <c r="I2067" s="276">
        <f t="shared" si="0"/>
        <v>0</v>
      </c>
      <c r="J2067" s="276">
        <f t="shared" si="1"/>
        <v>0</v>
      </c>
      <c r="L2067" s="264">
        <v>92906</v>
      </c>
      <c r="M2067" s="264">
        <v>0</v>
      </c>
      <c r="N2067" s="264">
        <v>0</v>
      </c>
    </row>
    <row r="2068" spans="1:14">
      <c r="A2068" s="348"/>
      <c r="B2068" s="348"/>
      <c r="C2068" s="348"/>
      <c r="D2068" s="348"/>
      <c r="E2068" s="273" t="s">
        <v>204</v>
      </c>
      <c r="F2068" s="274">
        <f>2849731/7.5345</f>
        <v>378224.30154622073</v>
      </c>
      <c r="G2068" s="275">
        <v>1019709</v>
      </c>
      <c r="H2068" s="274">
        <v>96700</v>
      </c>
      <c r="I2068" s="276">
        <f t="shared" si="0"/>
        <v>25.566839466602286</v>
      </c>
      <c r="J2068" s="276">
        <f t="shared" si="1"/>
        <v>9.483097628833324</v>
      </c>
      <c r="L2068" s="264">
        <v>1019709</v>
      </c>
      <c r="M2068" s="264">
        <v>0</v>
      </c>
      <c r="N2068" s="264">
        <v>0</v>
      </c>
    </row>
    <row r="2069" spans="1:14">
      <c r="A2069" s="348"/>
      <c r="B2069" s="348"/>
      <c r="C2069" s="348"/>
      <c r="D2069" s="348"/>
      <c r="E2069" s="273" t="s">
        <v>209</v>
      </c>
      <c r="F2069" s="274">
        <f>8000/7.5345</f>
        <v>1061.7824673170085</v>
      </c>
      <c r="G2069" s="275">
        <v>6636</v>
      </c>
      <c r="H2069" s="274">
        <v>0</v>
      </c>
      <c r="I2069" s="276">
        <f t="shared" si="0"/>
        <v>0</v>
      </c>
      <c r="J2069" s="276">
        <f t="shared" si="1"/>
        <v>0</v>
      </c>
      <c r="L2069" s="264">
        <v>6636</v>
      </c>
      <c r="M2069" s="264">
        <v>0</v>
      </c>
      <c r="N2069" s="264">
        <v>0</v>
      </c>
    </row>
    <row r="2070" spans="1:14">
      <c r="A2070" s="348"/>
      <c r="B2070" s="348"/>
      <c r="C2070" s="348"/>
      <c r="D2070" s="348"/>
      <c r="E2070" s="273" t="s">
        <v>367</v>
      </c>
      <c r="F2070" s="274">
        <f>4492285/7.5345</f>
        <v>596228.68139889836</v>
      </c>
      <c r="G2070" s="275">
        <f>607543+50000</f>
        <v>657543</v>
      </c>
      <c r="H2070" s="274">
        <v>0</v>
      </c>
      <c r="I2070" s="276">
        <f t="shared" si="0"/>
        <v>0</v>
      </c>
      <c r="J2070" s="276">
        <f t="shared" si="1"/>
        <v>0</v>
      </c>
      <c r="L2070" s="264">
        <v>657543</v>
      </c>
      <c r="M2070" s="264">
        <v>0</v>
      </c>
      <c r="N2070" s="264">
        <v>0</v>
      </c>
    </row>
    <row r="2071" spans="1:14" ht="30" hidden="1">
      <c r="A2071" s="281" t="s">
        <v>413</v>
      </c>
      <c r="B2071" s="282" t="s">
        <v>414</v>
      </c>
      <c r="C2071" s="281">
        <v>11</v>
      </c>
      <c r="D2071" s="281" t="s">
        <v>100</v>
      </c>
      <c r="E2071" s="255" t="s">
        <v>84</v>
      </c>
      <c r="L2071" s="264">
        <v>6698985.0133956596</v>
      </c>
      <c r="M2071" s="264">
        <v>6731022.5818809783</v>
      </c>
      <c r="N2071" s="264">
        <v>6763210.3427498937</v>
      </c>
    </row>
    <row r="2072" spans="1:14" hidden="1">
      <c r="A2072" s="281"/>
      <c r="B2072" s="282"/>
      <c r="C2072" s="281"/>
      <c r="D2072" s="281"/>
      <c r="E2072" s="255" t="s">
        <v>226</v>
      </c>
      <c r="L2072" s="264">
        <v>106100.21508689092</v>
      </c>
      <c r="M2072" s="264">
        <v>106607.63418103072</v>
      </c>
      <c r="N2072" s="264">
        <v>107117.43206004199</v>
      </c>
    </row>
    <row r="2073" spans="1:14" hidden="1">
      <c r="A2073" s="281"/>
      <c r="B2073" s="282"/>
      <c r="C2073" s="281"/>
      <c r="D2073" s="281"/>
      <c r="E2073" s="255" t="s">
        <v>215</v>
      </c>
      <c r="L2073" s="264">
        <v>40876.404537730275</v>
      </c>
      <c r="M2073" s="264">
        <v>41071.893945034877</v>
      </c>
      <c r="N2073" s="264">
        <v>41268.2998082829</v>
      </c>
    </row>
    <row r="2074" spans="1:14" hidden="1">
      <c r="A2074" s="281" t="s">
        <v>438</v>
      </c>
      <c r="B2074" s="282" t="s">
        <v>439</v>
      </c>
      <c r="C2074" s="281">
        <v>11</v>
      </c>
      <c r="D2074" s="281" t="s">
        <v>100</v>
      </c>
      <c r="E2074" s="255" t="s">
        <v>226</v>
      </c>
      <c r="L2074" s="264"/>
      <c r="M2074" s="264">
        <v>15927</v>
      </c>
      <c r="N2074" s="264"/>
    </row>
    <row r="2075" spans="1:14" hidden="1">
      <c r="A2075" s="281" t="s">
        <v>383</v>
      </c>
      <c r="B2075" s="282" t="s">
        <v>384</v>
      </c>
      <c r="C2075" s="281">
        <v>11</v>
      </c>
      <c r="D2075" s="281" t="s">
        <v>100</v>
      </c>
      <c r="E2075" s="255" t="s">
        <v>84</v>
      </c>
      <c r="L2075" s="264">
        <v>18747.6114628</v>
      </c>
      <c r="M2075" s="264">
        <v>18747.6114628</v>
      </c>
      <c r="N2075" s="264">
        <v>18747.6114628</v>
      </c>
    </row>
    <row r="2076" spans="1:14" hidden="1">
      <c r="A2076" s="281"/>
      <c r="B2076" s="282"/>
      <c r="C2076" s="281"/>
      <c r="D2076" s="281"/>
      <c r="E2076" s="255" t="s">
        <v>226</v>
      </c>
      <c r="L2076" s="264">
        <v>1882.4992259999999</v>
      </c>
      <c r="M2076" s="264">
        <v>1882.4992259999999</v>
      </c>
      <c r="N2076" s="264">
        <v>1882.4992259999999</v>
      </c>
    </row>
    <row r="2077" spans="1:14" hidden="1">
      <c r="A2077" s="281"/>
      <c r="B2077" s="282"/>
      <c r="C2077" s="281"/>
      <c r="D2077" s="281"/>
      <c r="E2077" s="255" t="s">
        <v>192</v>
      </c>
      <c r="L2077" s="264">
        <v>6016.1944175999997</v>
      </c>
      <c r="M2077" s="264">
        <v>6016.1944175999997</v>
      </c>
      <c r="N2077" s="264">
        <v>6016.1944175999997</v>
      </c>
    </row>
    <row r="2078" spans="1:14" ht="30" hidden="1">
      <c r="A2078" s="281" t="s">
        <v>365</v>
      </c>
      <c r="B2078" s="282" t="s">
        <v>366</v>
      </c>
      <c r="C2078" s="281">
        <v>11</v>
      </c>
      <c r="D2078" s="281" t="s">
        <v>100</v>
      </c>
      <c r="E2078" s="255" t="s">
        <v>84</v>
      </c>
      <c r="L2078" s="264">
        <v>29670.570033890643</v>
      </c>
      <c r="M2078" s="264">
        <v>29670.570033890643</v>
      </c>
      <c r="N2078" s="264">
        <v>29670.570033890643</v>
      </c>
    </row>
    <row r="2079" spans="1:14" hidden="1">
      <c r="A2079" s="281"/>
      <c r="B2079" s="282"/>
      <c r="C2079" s="281"/>
      <c r="D2079" s="281"/>
      <c r="E2079" s="255" t="s">
        <v>226</v>
      </c>
      <c r="L2079" s="264">
        <v>1694359.7012622654</v>
      </c>
      <c r="M2079" s="264">
        <v>1694359.7012622654</v>
      </c>
      <c r="N2079" s="264">
        <v>1694359.7012622654</v>
      </c>
    </row>
    <row r="2080" spans="1:14" hidden="1">
      <c r="A2080" s="281"/>
      <c r="B2080" s="282"/>
      <c r="C2080" s="281"/>
      <c r="D2080" s="281"/>
      <c r="E2080" s="255" t="s">
        <v>192</v>
      </c>
      <c r="L2080" s="264">
        <v>548.18605143446905</v>
      </c>
      <c r="M2080" s="264">
        <v>548.18605143446905</v>
      </c>
      <c r="N2080" s="264">
        <v>548.18605143446905</v>
      </c>
    </row>
    <row r="2081" spans="1:14" hidden="1">
      <c r="A2081" s="281"/>
      <c r="B2081" s="282"/>
      <c r="C2081" s="281"/>
      <c r="D2081" s="281"/>
      <c r="E2081" s="255" t="s">
        <v>204</v>
      </c>
      <c r="L2081" s="264">
        <v>142445.81523268571</v>
      </c>
      <c r="M2081" s="264">
        <v>142445.81523268571</v>
      </c>
      <c r="N2081" s="264">
        <v>142445.81523268571</v>
      </c>
    </row>
    <row r="2082" spans="1:14" hidden="1">
      <c r="A2082" s="281"/>
      <c r="B2082" s="282"/>
      <c r="C2082" s="281"/>
      <c r="D2082" s="281"/>
      <c r="E2082" s="255" t="s">
        <v>283</v>
      </c>
      <c r="L2082" s="264">
        <v>32871.34913240184</v>
      </c>
      <c r="M2082" s="264">
        <v>32871.34913240184</v>
      </c>
      <c r="N2082" s="264">
        <v>32871.34913240184</v>
      </c>
    </row>
    <row r="2083" spans="1:14" hidden="1">
      <c r="A2083" s="281"/>
      <c r="B2083" s="282"/>
      <c r="C2083" s="281"/>
      <c r="D2083" s="281"/>
      <c r="E2083" s="255" t="s">
        <v>367</v>
      </c>
      <c r="L2083" s="264">
        <v>22462.418806369031</v>
      </c>
      <c r="M2083" s="264">
        <v>22462.418806369031</v>
      </c>
      <c r="N2083" s="264">
        <v>22462.418806369031</v>
      </c>
    </row>
    <row r="2084" spans="1:14" ht="30" hidden="1">
      <c r="A2084" s="281" t="s">
        <v>415</v>
      </c>
      <c r="B2084" s="282" t="s">
        <v>416</v>
      </c>
      <c r="C2084" s="281">
        <v>51</v>
      </c>
      <c r="D2084" s="281" t="s">
        <v>109</v>
      </c>
      <c r="E2084" s="255" t="s">
        <v>84</v>
      </c>
      <c r="L2084" s="264">
        <v>40933.94432278187</v>
      </c>
      <c r="M2084" s="264"/>
      <c r="N2084" s="264"/>
    </row>
    <row r="2085" spans="1:14" hidden="1">
      <c r="A2085" s="281"/>
      <c r="B2085" s="282"/>
      <c r="C2085" s="281"/>
      <c r="D2085" s="281"/>
      <c r="E2085" s="255" t="s">
        <v>226</v>
      </c>
      <c r="L2085" s="264">
        <v>174669</v>
      </c>
      <c r="M2085" s="264">
        <v>40270</v>
      </c>
      <c r="N2085" s="264"/>
    </row>
    <row r="2086" spans="1:14" hidden="1">
      <c r="A2086" s="281"/>
      <c r="B2086" s="282"/>
      <c r="C2086" s="281"/>
      <c r="D2086" s="281"/>
      <c r="E2086" s="255" t="s">
        <v>204</v>
      </c>
      <c r="L2086" s="264">
        <v>314211</v>
      </c>
      <c r="M2086" s="264">
        <v>84176</v>
      </c>
      <c r="N2086" s="264"/>
    </row>
    <row r="2087" spans="1:14" hidden="1">
      <c r="A2087" s="281"/>
      <c r="B2087" s="282"/>
      <c r="C2087" s="281"/>
      <c r="D2087" s="281"/>
      <c r="E2087" s="255" t="s">
        <v>283</v>
      </c>
      <c r="L2087" s="264">
        <v>5100</v>
      </c>
      <c r="M2087" s="264">
        <v>5100</v>
      </c>
      <c r="N2087" s="264"/>
    </row>
    <row r="2088" spans="1:14" hidden="1">
      <c r="A2088" s="281"/>
      <c r="B2088" s="282"/>
      <c r="C2088" s="281">
        <v>52</v>
      </c>
      <c r="D2088" s="281" t="s">
        <v>69</v>
      </c>
      <c r="E2088" s="255" t="s">
        <v>84</v>
      </c>
      <c r="L2088" s="264">
        <v>61454</v>
      </c>
      <c r="M2088" s="264">
        <v>52023</v>
      </c>
      <c r="N2088" s="264">
        <v>10356</v>
      </c>
    </row>
    <row r="2089" spans="1:14" hidden="1">
      <c r="A2089" s="281"/>
      <c r="B2089" s="282"/>
      <c r="C2089" s="281"/>
      <c r="D2089" s="281"/>
      <c r="E2089" s="255" t="s">
        <v>226</v>
      </c>
      <c r="L2089" s="264">
        <v>93277</v>
      </c>
      <c r="M2089" s="264">
        <v>34427</v>
      </c>
      <c r="N2089" s="264">
        <v>3597</v>
      </c>
    </row>
    <row r="2090" spans="1:14" hidden="1">
      <c r="A2090" s="281"/>
      <c r="B2090" s="282"/>
      <c r="C2090" s="281"/>
      <c r="D2090" s="281"/>
      <c r="E2090" s="255" t="s">
        <v>192</v>
      </c>
      <c r="L2090" s="264">
        <v>2160</v>
      </c>
      <c r="M2090" s="264">
        <v>1127</v>
      </c>
      <c r="N2090" s="264">
        <v>66</v>
      </c>
    </row>
    <row r="2091" spans="1:14" hidden="1">
      <c r="A2091" s="281"/>
      <c r="B2091" s="282"/>
      <c r="C2091" s="281"/>
      <c r="D2091" s="281"/>
      <c r="E2091" s="255" t="s">
        <v>204</v>
      </c>
      <c r="L2091" s="264">
        <v>717008</v>
      </c>
      <c r="M2091" s="264">
        <v>239661</v>
      </c>
      <c r="N2091" s="264">
        <v>60612</v>
      </c>
    </row>
    <row r="2092" spans="1:14" hidden="1">
      <c r="A2092" s="281"/>
      <c r="B2092" s="282"/>
      <c r="C2092" s="281"/>
      <c r="D2092" s="281"/>
      <c r="E2092" s="255" t="s">
        <v>209</v>
      </c>
      <c r="L2092" s="264">
        <v>463723</v>
      </c>
      <c r="M2092" s="264">
        <v>127275</v>
      </c>
      <c r="N2092" s="264">
        <v>19975</v>
      </c>
    </row>
    <row r="2093" spans="1:14" ht="30" hidden="1">
      <c r="A2093" s="281" t="s">
        <v>417</v>
      </c>
      <c r="B2093" s="282" t="s">
        <v>418</v>
      </c>
      <c r="C2093" s="281">
        <v>31</v>
      </c>
      <c r="D2093" s="281" t="s">
        <v>333</v>
      </c>
      <c r="E2093" s="255" t="s">
        <v>84</v>
      </c>
      <c r="L2093" s="264">
        <v>264517</v>
      </c>
      <c r="M2093" s="264">
        <v>264484</v>
      </c>
      <c r="N2093" s="264">
        <v>264484</v>
      </c>
    </row>
    <row r="2094" spans="1:14" hidden="1">
      <c r="A2094" s="281"/>
      <c r="B2094" s="282"/>
      <c r="C2094" s="281"/>
      <c r="D2094" s="281"/>
      <c r="E2094" s="255" t="s">
        <v>226</v>
      </c>
      <c r="L2094" s="264">
        <v>27736</v>
      </c>
      <c r="M2094" s="264">
        <v>27537</v>
      </c>
      <c r="N2094" s="264">
        <v>27537</v>
      </c>
    </row>
    <row r="2095" spans="1:14" hidden="1">
      <c r="A2095" s="281"/>
      <c r="B2095" s="282"/>
      <c r="C2095" s="281">
        <v>43</v>
      </c>
      <c r="D2095" s="281" t="s">
        <v>104</v>
      </c>
      <c r="E2095" s="255" t="s">
        <v>84</v>
      </c>
      <c r="L2095" s="264">
        <v>1347969</v>
      </c>
      <c r="M2095" s="264">
        <v>1347969</v>
      </c>
      <c r="N2095" s="264">
        <v>1347969</v>
      </c>
    </row>
    <row r="2096" spans="1:14" hidden="1">
      <c r="A2096" s="281"/>
      <c r="B2096" s="282"/>
      <c r="C2096" s="281"/>
      <c r="D2096" s="281"/>
      <c r="E2096" s="255" t="s">
        <v>226</v>
      </c>
      <c r="L2096" s="264">
        <v>580564</v>
      </c>
      <c r="M2096" s="264">
        <v>580564</v>
      </c>
      <c r="N2096" s="264">
        <v>580564</v>
      </c>
    </row>
    <row r="2097" spans="1:14" hidden="1">
      <c r="A2097" s="281"/>
      <c r="B2097" s="282"/>
      <c r="C2097" s="281"/>
      <c r="D2097" s="281"/>
      <c r="E2097" s="255" t="s">
        <v>192</v>
      </c>
      <c r="L2097" s="264">
        <v>25040</v>
      </c>
      <c r="M2097" s="264">
        <v>25040</v>
      </c>
      <c r="N2097" s="264">
        <v>25040</v>
      </c>
    </row>
    <row r="2098" spans="1:14" hidden="1">
      <c r="A2098" s="281"/>
      <c r="B2098" s="282"/>
      <c r="C2098" s="281"/>
      <c r="D2098" s="281"/>
      <c r="E2098" s="255" t="s">
        <v>204</v>
      </c>
      <c r="L2098" s="264">
        <v>92460</v>
      </c>
      <c r="M2098" s="264">
        <v>87177</v>
      </c>
      <c r="N2098" s="264">
        <v>87177</v>
      </c>
    </row>
    <row r="2099" spans="1:14" hidden="1">
      <c r="A2099" s="281"/>
      <c r="B2099" s="282"/>
      <c r="C2099" s="281"/>
      <c r="D2099" s="281"/>
      <c r="E2099" s="255" t="s">
        <v>209</v>
      </c>
      <c r="L2099" s="264">
        <v>1990</v>
      </c>
      <c r="M2099" s="264">
        <v>1990</v>
      </c>
      <c r="N2099" s="264">
        <v>1990</v>
      </c>
    </row>
    <row r="2100" spans="1:14" hidden="1">
      <c r="A2100" s="281"/>
      <c r="B2100" s="282"/>
      <c r="C2100" s="281"/>
      <c r="D2100" s="281"/>
      <c r="E2100" s="255" t="s">
        <v>215</v>
      </c>
      <c r="L2100" s="264">
        <v>430000</v>
      </c>
      <c r="M2100" s="264">
        <v>430000</v>
      </c>
      <c r="N2100" s="264">
        <v>430000</v>
      </c>
    </row>
    <row r="2101" spans="1:14" hidden="1">
      <c r="A2101" s="281"/>
      <c r="B2101" s="282"/>
      <c r="C2101" s="281"/>
      <c r="D2101" s="281"/>
      <c r="E2101" s="255" t="s">
        <v>283</v>
      </c>
      <c r="L2101" s="264">
        <v>211692</v>
      </c>
      <c r="M2101" s="264">
        <v>6636</v>
      </c>
      <c r="N2101" s="264">
        <v>6636</v>
      </c>
    </row>
    <row r="2102" spans="1:14" hidden="1">
      <c r="A2102" s="281"/>
      <c r="B2102" s="282"/>
      <c r="C2102" s="281"/>
      <c r="D2102" s="281"/>
      <c r="E2102" s="255" t="s">
        <v>367</v>
      </c>
      <c r="L2102" s="264">
        <v>359854</v>
      </c>
      <c r="M2102" s="264">
        <v>69646</v>
      </c>
      <c r="N2102" s="264">
        <v>69646</v>
      </c>
    </row>
    <row r="2103" spans="1:14" hidden="1">
      <c r="A2103" s="281"/>
      <c r="B2103" s="282"/>
      <c r="C2103" s="281"/>
      <c r="D2103" s="281"/>
      <c r="E2103" s="255" t="s">
        <v>322</v>
      </c>
      <c r="L2103" s="264">
        <v>243812</v>
      </c>
      <c r="M2103" s="264">
        <v>285354</v>
      </c>
      <c r="N2103" s="264">
        <v>268764</v>
      </c>
    </row>
    <row r="2104" spans="1:14" hidden="1">
      <c r="A2104" s="281"/>
      <c r="B2104" s="282"/>
      <c r="C2104" s="281">
        <v>52</v>
      </c>
      <c r="D2104" s="281" t="s">
        <v>69</v>
      </c>
      <c r="E2104" s="255" t="s">
        <v>84</v>
      </c>
      <c r="L2104" s="264">
        <v>50073</v>
      </c>
      <c r="M2104" s="264">
        <v>36841</v>
      </c>
      <c r="N2104" s="264">
        <v>18156</v>
      </c>
    </row>
    <row r="2105" spans="1:14" hidden="1">
      <c r="A2105" s="281"/>
      <c r="B2105" s="282"/>
      <c r="C2105" s="281"/>
      <c r="D2105" s="281"/>
      <c r="E2105" s="255" t="s">
        <v>226</v>
      </c>
      <c r="L2105" s="264">
        <v>132622</v>
      </c>
      <c r="M2105" s="264">
        <v>73717</v>
      </c>
      <c r="N2105" s="264">
        <v>64753</v>
      </c>
    </row>
    <row r="2106" spans="1:14" hidden="1">
      <c r="A2106" s="281"/>
      <c r="B2106" s="282"/>
      <c r="C2106" s="281"/>
      <c r="D2106" s="281"/>
      <c r="E2106" s="255" t="s">
        <v>204</v>
      </c>
      <c r="L2106" s="264">
        <v>66144</v>
      </c>
      <c r="M2106" s="264">
        <v>66144</v>
      </c>
      <c r="N2106" s="264">
        <v>66144</v>
      </c>
    </row>
    <row r="2107" spans="1:14" hidden="1">
      <c r="A2107" s="281"/>
      <c r="B2107" s="282"/>
      <c r="C2107" s="281"/>
      <c r="D2107" s="281"/>
      <c r="E2107" s="255" t="s">
        <v>209</v>
      </c>
      <c r="L2107" s="264">
        <v>2200</v>
      </c>
      <c r="M2107" s="264"/>
      <c r="N2107" s="264"/>
    </row>
    <row r="2108" spans="1:14" hidden="1">
      <c r="A2108" s="281"/>
      <c r="B2108" s="282"/>
      <c r="C2108" s="281"/>
      <c r="D2108" s="281"/>
      <c r="E2108" s="255" t="s">
        <v>283</v>
      </c>
      <c r="L2108" s="264">
        <v>796</v>
      </c>
      <c r="M2108" s="264"/>
      <c r="N2108" s="264"/>
    </row>
    <row r="2109" spans="1:14" hidden="1">
      <c r="A2109" s="281"/>
      <c r="B2109" s="282"/>
      <c r="C2109" s="281"/>
      <c r="D2109" s="281"/>
      <c r="E2109" s="255" t="s">
        <v>367</v>
      </c>
      <c r="L2109" s="264">
        <v>12885</v>
      </c>
      <c r="M2109" s="264">
        <v>15672</v>
      </c>
      <c r="N2109" s="264">
        <v>2000</v>
      </c>
    </row>
    <row r="2110" spans="1:14" hidden="1">
      <c r="A2110" s="281" t="s">
        <v>440</v>
      </c>
      <c r="B2110" s="282" t="s">
        <v>441</v>
      </c>
      <c r="C2110" s="281">
        <v>11</v>
      </c>
      <c r="D2110" s="281" t="s">
        <v>100</v>
      </c>
      <c r="E2110" s="255" t="s">
        <v>226</v>
      </c>
      <c r="L2110" s="264">
        <v>230000.05</v>
      </c>
      <c r="M2110" s="264">
        <v>230000.05</v>
      </c>
      <c r="N2110" s="264">
        <v>230000.05</v>
      </c>
    </row>
    <row r="2111" spans="1:14" ht="30" hidden="1">
      <c r="A2111" s="281" t="s">
        <v>388</v>
      </c>
      <c r="B2111" s="282" t="s">
        <v>389</v>
      </c>
      <c r="C2111" s="281">
        <v>12</v>
      </c>
      <c r="D2111" s="281" t="s">
        <v>102</v>
      </c>
      <c r="E2111" s="255" t="s">
        <v>84</v>
      </c>
      <c r="L2111" s="264">
        <v>18075.276276902681</v>
      </c>
      <c r="M2111" s="264"/>
      <c r="N2111" s="264"/>
    </row>
    <row r="2112" spans="1:14" hidden="1">
      <c r="A2112" s="281"/>
      <c r="B2112" s="282"/>
      <c r="C2112" s="281">
        <v>561</v>
      </c>
      <c r="D2112" s="281" t="s">
        <v>390</v>
      </c>
      <c r="E2112" s="255" t="s">
        <v>84</v>
      </c>
      <c r="L2112" s="264">
        <v>102426.56556911519</v>
      </c>
      <c r="M2112" s="264"/>
      <c r="N2112" s="264"/>
    </row>
    <row r="2113" spans="1:14" ht="30" hidden="1">
      <c r="A2113" s="281" t="s">
        <v>407</v>
      </c>
      <c r="B2113" s="282" t="s">
        <v>408</v>
      </c>
      <c r="C2113" s="281">
        <v>11</v>
      </c>
      <c r="D2113" s="281" t="s">
        <v>100</v>
      </c>
      <c r="E2113" s="255" t="s">
        <v>84</v>
      </c>
      <c r="L2113" s="264">
        <v>566254.37261735881</v>
      </c>
      <c r="M2113" s="264">
        <v>568953.05929390935</v>
      </c>
      <c r="N2113" s="264">
        <v>571664.39311900293</v>
      </c>
    </row>
    <row r="2114" spans="1:14" hidden="1">
      <c r="A2114" s="281"/>
      <c r="B2114" s="282"/>
      <c r="C2114" s="281"/>
      <c r="D2114" s="281"/>
      <c r="E2114" s="255" t="s">
        <v>226</v>
      </c>
      <c r="L2114" s="264">
        <v>17401.476330326645</v>
      </c>
      <c r="M2114" s="264">
        <v>17484.409256933282</v>
      </c>
      <c r="N2114" s="264">
        <v>17567.730841123259</v>
      </c>
    </row>
    <row r="2115" spans="1:14" ht="30" hidden="1">
      <c r="A2115" s="281" t="s">
        <v>365</v>
      </c>
      <c r="B2115" s="282" t="s">
        <v>366</v>
      </c>
      <c r="C2115" s="281">
        <v>11</v>
      </c>
      <c r="D2115" s="281" t="s">
        <v>100</v>
      </c>
      <c r="E2115" s="255" t="s">
        <v>226</v>
      </c>
      <c r="L2115" s="264">
        <v>32674.035177141537</v>
      </c>
      <c r="M2115" s="264">
        <v>32674.035177141537</v>
      </c>
      <c r="N2115" s="264">
        <v>32674.035177141537</v>
      </c>
    </row>
    <row r="2116" spans="1:14" ht="30" hidden="1">
      <c r="A2116" s="281" t="s">
        <v>411</v>
      </c>
      <c r="B2116" s="282" t="s">
        <v>412</v>
      </c>
      <c r="C2116" s="281">
        <v>31</v>
      </c>
      <c r="D2116" s="281" t="s">
        <v>333</v>
      </c>
      <c r="E2116" s="255" t="s">
        <v>84</v>
      </c>
      <c r="L2116" s="264">
        <v>6769</v>
      </c>
      <c r="M2116" s="264">
        <v>6769</v>
      </c>
      <c r="N2116" s="264">
        <v>6769</v>
      </c>
    </row>
    <row r="2117" spans="1:14" hidden="1">
      <c r="A2117" s="281"/>
      <c r="B2117" s="282"/>
      <c r="C2117" s="281"/>
      <c r="D2117" s="281"/>
      <c r="E2117" s="255" t="s">
        <v>226</v>
      </c>
      <c r="L2117" s="264">
        <v>61536</v>
      </c>
      <c r="M2117" s="264">
        <v>61536</v>
      </c>
      <c r="N2117" s="264">
        <v>61536</v>
      </c>
    </row>
    <row r="2118" spans="1:14" hidden="1">
      <c r="A2118" s="281"/>
      <c r="B2118" s="282"/>
      <c r="C2118" s="281"/>
      <c r="D2118" s="281"/>
      <c r="E2118" s="255" t="s">
        <v>192</v>
      </c>
      <c r="L2118" s="264">
        <v>133</v>
      </c>
      <c r="M2118" s="264">
        <v>133</v>
      </c>
      <c r="N2118" s="264">
        <v>133</v>
      </c>
    </row>
    <row r="2119" spans="1:14" hidden="1">
      <c r="A2119" s="281"/>
      <c r="B2119" s="282"/>
      <c r="C2119" s="281"/>
      <c r="D2119" s="281"/>
      <c r="E2119" s="255" t="s">
        <v>367</v>
      </c>
      <c r="L2119" s="264">
        <v>7698</v>
      </c>
      <c r="M2119" s="264">
        <v>7698</v>
      </c>
      <c r="N2119" s="264">
        <v>7698</v>
      </c>
    </row>
    <row r="2120" spans="1:14" hidden="1">
      <c r="A2120" s="281"/>
      <c r="B2120" s="282"/>
      <c r="C2120" s="281">
        <v>43</v>
      </c>
      <c r="D2120" s="281" t="s">
        <v>104</v>
      </c>
      <c r="E2120" s="255" t="s">
        <v>226</v>
      </c>
      <c r="L2120" s="264">
        <v>9554</v>
      </c>
      <c r="M2120" s="264">
        <v>10554</v>
      </c>
      <c r="N2120" s="264">
        <v>10554</v>
      </c>
    </row>
    <row r="2121" spans="1:14" hidden="1">
      <c r="A2121" s="281"/>
      <c r="B2121" s="282"/>
      <c r="C2121" s="281"/>
      <c r="D2121" s="281"/>
      <c r="E2121" s="255" t="s">
        <v>192</v>
      </c>
      <c r="L2121" s="264">
        <v>1195</v>
      </c>
      <c r="M2121" s="264">
        <v>1195</v>
      </c>
      <c r="N2121" s="264">
        <v>1195</v>
      </c>
    </row>
    <row r="2122" spans="1:14" hidden="1">
      <c r="A2122" s="281"/>
      <c r="B2122" s="282"/>
      <c r="C2122" s="281"/>
      <c r="D2122" s="281"/>
      <c r="E2122" s="255" t="s">
        <v>367</v>
      </c>
      <c r="L2122" s="264">
        <v>664</v>
      </c>
      <c r="M2122" s="264">
        <v>664</v>
      </c>
      <c r="N2122" s="264">
        <v>664</v>
      </c>
    </row>
    <row r="2123" spans="1:14" hidden="1">
      <c r="A2123" s="281"/>
      <c r="B2123" s="282"/>
      <c r="C2123" s="281">
        <v>52</v>
      </c>
      <c r="D2123" s="281" t="s">
        <v>69</v>
      </c>
      <c r="E2123" s="255" t="s">
        <v>226</v>
      </c>
      <c r="L2123" s="264">
        <v>36505</v>
      </c>
      <c r="M2123" s="264">
        <v>45115</v>
      </c>
      <c r="N2123" s="264">
        <v>47115</v>
      </c>
    </row>
    <row r="2124" spans="1:14" hidden="1">
      <c r="A2124" s="281"/>
      <c r="B2124" s="282"/>
      <c r="C2124" s="281"/>
      <c r="D2124" s="281"/>
      <c r="E2124" s="255" t="s">
        <v>192</v>
      </c>
      <c r="L2124" s="264">
        <v>132</v>
      </c>
      <c r="M2124" s="264">
        <v>132</v>
      </c>
      <c r="N2124" s="264">
        <v>132</v>
      </c>
    </row>
    <row r="2125" spans="1:14" hidden="1">
      <c r="A2125" s="281"/>
      <c r="B2125" s="282"/>
      <c r="C2125" s="281"/>
      <c r="D2125" s="281"/>
      <c r="E2125" s="255" t="s">
        <v>367</v>
      </c>
      <c r="L2125" s="264">
        <v>11284</v>
      </c>
      <c r="M2125" s="264">
        <v>11284</v>
      </c>
      <c r="N2125" s="264">
        <v>11284</v>
      </c>
    </row>
    <row r="2126" spans="1:14" hidden="1">
      <c r="A2126" s="281"/>
      <c r="B2126" s="282"/>
      <c r="C2126" s="281"/>
      <c r="D2126" s="281"/>
      <c r="E2126" s="255" t="s">
        <v>322</v>
      </c>
      <c r="L2126" s="264">
        <v>16910</v>
      </c>
      <c r="M2126" s="264">
        <v>3000</v>
      </c>
      <c r="N2126" s="264">
        <v>0</v>
      </c>
    </row>
    <row r="2127" spans="1:14" hidden="1">
      <c r="A2127" s="281"/>
      <c r="B2127" s="282"/>
      <c r="C2127" s="281">
        <v>61</v>
      </c>
      <c r="D2127" s="281" t="s">
        <v>276</v>
      </c>
      <c r="E2127" s="255" t="s">
        <v>367</v>
      </c>
      <c r="L2127" s="264">
        <v>5000</v>
      </c>
      <c r="M2127" s="264">
        <v>5000</v>
      </c>
      <c r="N2127" s="264">
        <v>5000</v>
      </c>
    </row>
    <row r="2128" spans="1:14" ht="30" hidden="1">
      <c r="A2128" s="281" t="s">
        <v>419</v>
      </c>
      <c r="B2128" s="282" t="s">
        <v>420</v>
      </c>
      <c r="C2128" s="281">
        <v>11</v>
      </c>
      <c r="D2128" s="281" t="s">
        <v>100</v>
      </c>
      <c r="E2128" s="255" t="s">
        <v>84</v>
      </c>
      <c r="L2128" s="264">
        <v>725011.76638311963</v>
      </c>
      <c r="M2128" s="264">
        <v>728456.99903286598</v>
      </c>
      <c r="N2128" s="264">
        <v>731918.3932412992</v>
      </c>
    </row>
    <row r="2129" spans="1:14" hidden="1">
      <c r="A2129" s="281"/>
      <c r="B2129" s="282"/>
      <c r="C2129" s="281"/>
      <c r="D2129" s="281"/>
      <c r="E2129" s="255" t="s">
        <v>226</v>
      </c>
      <c r="L2129" s="264">
        <v>17664.644401118883</v>
      </c>
      <c r="M2129" s="264">
        <v>17748.586224491624</v>
      </c>
      <c r="N2129" s="264">
        <v>17832.921818283572</v>
      </c>
    </row>
    <row r="2130" spans="1:14" ht="30" hidden="1">
      <c r="A2130" s="281" t="s">
        <v>365</v>
      </c>
      <c r="B2130" s="282" t="s">
        <v>366</v>
      </c>
      <c r="C2130" s="281">
        <v>11</v>
      </c>
      <c r="D2130" s="281" t="s">
        <v>100</v>
      </c>
      <c r="E2130" s="255" t="s">
        <v>226</v>
      </c>
      <c r="L2130" s="264">
        <v>52168.488840578459</v>
      </c>
      <c r="M2130" s="264">
        <v>52168.488840578459</v>
      </c>
      <c r="N2130" s="264">
        <v>52168.488840578459</v>
      </c>
    </row>
    <row r="2131" spans="1:14" ht="30" hidden="1">
      <c r="A2131" s="281" t="s">
        <v>421</v>
      </c>
      <c r="B2131" s="282" t="s">
        <v>422</v>
      </c>
      <c r="C2131" s="281">
        <v>31</v>
      </c>
      <c r="D2131" s="281" t="s">
        <v>333</v>
      </c>
      <c r="E2131" s="255" t="s">
        <v>367</v>
      </c>
      <c r="L2131" s="264">
        <v>11331</v>
      </c>
      <c r="M2131" s="264">
        <v>11945</v>
      </c>
      <c r="N2131" s="264">
        <v>11945</v>
      </c>
    </row>
    <row r="2132" spans="1:14" hidden="1">
      <c r="A2132" s="281"/>
      <c r="B2132" s="282"/>
      <c r="C2132" s="281">
        <v>43</v>
      </c>
      <c r="D2132" s="281" t="s">
        <v>104</v>
      </c>
      <c r="E2132" s="255" t="s">
        <v>84</v>
      </c>
      <c r="L2132" s="264">
        <v>19378</v>
      </c>
      <c r="M2132" s="264">
        <v>19908</v>
      </c>
      <c r="N2132" s="264">
        <v>19908</v>
      </c>
    </row>
    <row r="2133" spans="1:14" hidden="1">
      <c r="A2133" s="281"/>
      <c r="B2133" s="282"/>
      <c r="C2133" s="281"/>
      <c r="D2133" s="281"/>
      <c r="E2133" s="255" t="s">
        <v>226</v>
      </c>
      <c r="L2133" s="264">
        <v>54875</v>
      </c>
      <c r="M2133" s="264">
        <v>54799</v>
      </c>
      <c r="N2133" s="264">
        <v>53972</v>
      </c>
    </row>
    <row r="2134" spans="1:14" hidden="1">
      <c r="A2134" s="281"/>
      <c r="B2134" s="282"/>
      <c r="C2134" s="281"/>
      <c r="D2134" s="281"/>
      <c r="E2134" s="255" t="s">
        <v>192</v>
      </c>
      <c r="L2134" s="264">
        <v>2933</v>
      </c>
      <c r="M2134" s="264">
        <v>2933</v>
      </c>
      <c r="N2134" s="264">
        <v>2933</v>
      </c>
    </row>
    <row r="2135" spans="1:14" hidden="1">
      <c r="A2135" s="281"/>
      <c r="B2135" s="282"/>
      <c r="C2135" s="281"/>
      <c r="D2135" s="281"/>
      <c r="E2135" s="255" t="s">
        <v>367</v>
      </c>
      <c r="L2135" s="264">
        <v>15529</v>
      </c>
      <c r="M2135" s="264">
        <v>19908</v>
      </c>
      <c r="N2135" s="264">
        <v>19907</v>
      </c>
    </row>
    <row r="2136" spans="1:14" hidden="1">
      <c r="A2136" s="281"/>
      <c r="B2136" s="282"/>
      <c r="C2136" s="281">
        <v>52</v>
      </c>
      <c r="D2136" s="281" t="s">
        <v>69</v>
      </c>
      <c r="E2136" s="255" t="s">
        <v>84</v>
      </c>
      <c r="L2136" s="264">
        <v>325449</v>
      </c>
      <c r="M2136" s="264">
        <v>335330</v>
      </c>
      <c r="N2136" s="264">
        <v>342372</v>
      </c>
    </row>
    <row r="2137" spans="1:14" hidden="1">
      <c r="A2137" s="281"/>
      <c r="B2137" s="282"/>
      <c r="C2137" s="281"/>
      <c r="D2137" s="281"/>
      <c r="E2137" s="255" t="s">
        <v>226</v>
      </c>
      <c r="L2137" s="264">
        <v>52556</v>
      </c>
      <c r="M2137" s="264">
        <v>55539</v>
      </c>
      <c r="N2137" s="264">
        <v>57767</v>
      </c>
    </row>
    <row r="2138" spans="1:14" hidden="1">
      <c r="A2138" s="281"/>
      <c r="B2138" s="282"/>
      <c r="C2138" s="281"/>
      <c r="D2138" s="281"/>
      <c r="E2138" s="255" t="s">
        <v>367</v>
      </c>
      <c r="L2138" s="264">
        <v>32488</v>
      </c>
      <c r="M2138" s="264">
        <v>27872</v>
      </c>
      <c r="N2138" s="264">
        <v>29197</v>
      </c>
    </row>
    <row r="2139" spans="1:14" hidden="1">
      <c r="A2139" s="281"/>
      <c r="B2139" s="282"/>
      <c r="C2139" s="281">
        <v>61</v>
      </c>
      <c r="D2139" s="281" t="s">
        <v>276</v>
      </c>
      <c r="E2139" s="255" t="s">
        <v>367</v>
      </c>
      <c r="L2139" s="264">
        <v>5309</v>
      </c>
      <c r="M2139" s="264">
        <v>5973</v>
      </c>
      <c r="N2139" s="264">
        <v>5973</v>
      </c>
    </row>
    <row r="2140" spans="1:14" ht="30" hidden="1">
      <c r="A2140" s="281" t="s">
        <v>413</v>
      </c>
      <c r="B2140" s="282" t="s">
        <v>414</v>
      </c>
      <c r="C2140" s="281">
        <v>11</v>
      </c>
      <c r="D2140" s="281" t="s">
        <v>100</v>
      </c>
      <c r="E2140" s="255" t="s">
        <v>84</v>
      </c>
      <c r="L2140" s="264">
        <v>1155022.4838399063</v>
      </c>
      <c r="M2140" s="264">
        <v>1160546.3224295001</v>
      </c>
      <c r="N2140" s="264">
        <v>1166096.0568196676</v>
      </c>
    </row>
    <row r="2141" spans="1:14" hidden="1">
      <c r="A2141" s="281"/>
      <c r="B2141" s="282"/>
      <c r="C2141" s="281"/>
      <c r="D2141" s="281"/>
      <c r="E2141" s="255" t="s">
        <v>226</v>
      </c>
      <c r="L2141" s="264">
        <v>29482.182006570365</v>
      </c>
      <c r="M2141" s="264">
        <v>29623.179101390459</v>
      </c>
      <c r="N2141" s="264">
        <v>29764.837191746501</v>
      </c>
    </row>
    <row r="2142" spans="1:14" hidden="1">
      <c r="A2142" s="281" t="s">
        <v>383</v>
      </c>
      <c r="B2142" s="282" t="s">
        <v>384</v>
      </c>
      <c r="C2142" s="281">
        <v>11</v>
      </c>
      <c r="D2142" s="281" t="s">
        <v>100</v>
      </c>
      <c r="E2142" s="255" t="s">
        <v>84</v>
      </c>
      <c r="L2142" s="264">
        <v>2723.2838543999997</v>
      </c>
      <c r="M2142" s="264">
        <v>2723.2838543999997</v>
      </c>
      <c r="N2142" s="264">
        <v>2723.2838543999997</v>
      </c>
    </row>
    <row r="2143" spans="1:14" hidden="1">
      <c r="A2143" s="281"/>
      <c r="B2143" s="282"/>
      <c r="C2143" s="281"/>
      <c r="D2143" s="281"/>
      <c r="E2143" s="255" t="s">
        <v>226</v>
      </c>
      <c r="L2143" s="264">
        <v>1747.8956543999998</v>
      </c>
      <c r="M2143" s="264">
        <v>1747.8956543999998</v>
      </c>
      <c r="N2143" s="264">
        <v>1747.8956543999998</v>
      </c>
    </row>
    <row r="2144" spans="1:14" hidden="1">
      <c r="A2144" s="281"/>
      <c r="B2144" s="282"/>
      <c r="C2144" s="281"/>
      <c r="D2144" s="281"/>
      <c r="E2144" s="255" t="s">
        <v>192</v>
      </c>
      <c r="L2144" s="264">
        <v>992.29492879999998</v>
      </c>
      <c r="M2144" s="264">
        <v>992.29492879999998</v>
      </c>
      <c r="N2144" s="264">
        <v>992.29492879999998</v>
      </c>
    </row>
    <row r="2145" spans="1:14" ht="30" hidden="1">
      <c r="A2145" s="281" t="s">
        <v>415</v>
      </c>
      <c r="B2145" s="282" t="s">
        <v>416</v>
      </c>
      <c r="C2145" s="281">
        <v>52</v>
      </c>
      <c r="D2145" s="281" t="s">
        <v>69</v>
      </c>
      <c r="E2145" s="255" t="s">
        <v>226</v>
      </c>
      <c r="L2145" s="264">
        <v>5415</v>
      </c>
      <c r="M2145" s="264">
        <v>1011</v>
      </c>
      <c r="N2145" s="264">
        <v>1090</v>
      </c>
    </row>
    <row r="2146" spans="1:14" ht="30" hidden="1">
      <c r="A2146" s="281" t="s">
        <v>417</v>
      </c>
      <c r="B2146" s="282" t="s">
        <v>418</v>
      </c>
      <c r="C2146" s="281">
        <v>31</v>
      </c>
      <c r="D2146" s="281" t="s">
        <v>333</v>
      </c>
      <c r="E2146" s="255" t="s">
        <v>84</v>
      </c>
      <c r="L2146" s="264">
        <v>133</v>
      </c>
      <c r="M2146" s="264">
        <v>133</v>
      </c>
      <c r="N2146" s="264">
        <v>133</v>
      </c>
    </row>
    <row r="2147" spans="1:14" hidden="1">
      <c r="A2147" s="281"/>
      <c r="B2147" s="282"/>
      <c r="C2147" s="281"/>
      <c r="D2147" s="281"/>
      <c r="E2147" s="255" t="s">
        <v>226</v>
      </c>
      <c r="L2147" s="264">
        <v>6762</v>
      </c>
      <c r="M2147" s="264">
        <v>10033</v>
      </c>
      <c r="N2147" s="264">
        <v>10073</v>
      </c>
    </row>
    <row r="2148" spans="1:14" hidden="1">
      <c r="A2148" s="281"/>
      <c r="B2148" s="282"/>
      <c r="C2148" s="281"/>
      <c r="D2148" s="281"/>
      <c r="E2148" s="255" t="s">
        <v>192</v>
      </c>
      <c r="L2148" s="264">
        <v>544</v>
      </c>
      <c r="M2148" s="264">
        <v>717</v>
      </c>
      <c r="N2148" s="264">
        <v>677</v>
      </c>
    </row>
    <row r="2149" spans="1:14" hidden="1">
      <c r="A2149" s="281"/>
      <c r="B2149" s="282"/>
      <c r="C2149" s="281"/>
      <c r="D2149" s="281"/>
      <c r="E2149" s="255" t="s">
        <v>283</v>
      </c>
      <c r="L2149" s="264">
        <v>9815</v>
      </c>
      <c r="M2149" s="264">
        <v>0</v>
      </c>
      <c r="N2149" s="264">
        <v>0</v>
      </c>
    </row>
    <row r="2150" spans="1:14" hidden="1">
      <c r="A2150" s="281"/>
      <c r="B2150" s="282"/>
      <c r="C2150" s="281"/>
      <c r="D2150" s="281"/>
      <c r="E2150" s="255" t="s">
        <v>367</v>
      </c>
      <c r="L2150" s="264">
        <v>1327</v>
      </c>
      <c r="M2150" s="264">
        <v>7698</v>
      </c>
      <c r="N2150" s="264">
        <v>7698</v>
      </c>
    </row>
    <row r="2151" spans="1:14" hidden="1">
      <c r="A2151" s="281"/>
      <c r="B2151" s="282"/>
      <c r="C2151" s="281">
        <v>43</v>
      </c>
      <c r="D2151" s="281" t="s">
        <v>104</v>
      </c>
      <c r="E2151" s="255" t="s">
        <v>84</v>
      </c>
      <c r="L2151" s="264">
        <v>26171</v>
      </c>
      <c r="M2151" s="264">
        <v>28414</v>
      </c>
      <c r="N2151" s="264">
        <v>28536</v>
      </c>
    </row>
    <row r="2152" spans="1:14" hidden="1">
      <c r="A2152" s="281"/>
      <c r="B2152" s="282"/>
      <c r="C2152" s="281"/>
      <c r="D2152" s="281"/>
      <c r="E2152" s="255" t="s">
        <v>226</v>
      </c>
      <c r="L2152" s="264">
        <v>85023</v>
      </c>
      <c r="M2152" s="264">
        <v>90891</v>
      </c>
      <c r="N2152" s="264">
        <v>87344</v>
      </c>
    </row>
    <row r="2153" spans="1:14" hidden="1">
      <c r="A2153" s="281"/>
      <c r="B2153" s="282"/>
      <c r="C2153" s="281"/>
      <c r="D2153" s="281"/>
      <c r="E2153" s="255" t="s">
        <v>192</v>
      </c>
      <c r="L2153" s="264">
        <v>13</v>
      </c>
      <c r="M2153" s="264">
        <v>13</v>
      </c>
      <c r="N2153" s="264">
        <v>13</v>
      </c>
    </row>
    <row r="2154" spans="1:14" hidden="1">
      <c r="A2154" s="281"/>
      <c r="B2154" s="282"/>
      <c r="C2154" s="281"/>
      <c r="D2154" s="281"/>
      <c r="E2154" s="255" t="s">
        <v>283</v>
      </c>
      <c r="L2154" s="264">
        <v>13272</v>
      </c>
      <c r="M2154" s="264">
        <v>0</v>
      </c>
      <c r="N2154" s="264">
        <v>0</v>
      </c>
    </row>
    <row r="2155" spans="1:14" hidden="1">
      <c r="A2155" s="281"/>
      <c r="B2155" s="282"/>
      <c r="C2155" s="281"/>
      <c r="D2155" s="281"/>
      <c r="E2155" s="255" t="s">
        <v>367</v>
      </c>
      <c r="L2155" s="264">
        <v>1528</v>
      </c>
      <c r="M2155" s="264">
        <v>4380</v>
      </c>
      <c r="N2155" s="264">
        <v>4247</v>
      </c>
    </row>
    <row r="2156" spans="1:14" hidden="1">
      <c r="A2156" s="281"/>
      <c r="B2156" s="282"/>
      <c r="C2156" s="281">
        <v>52</v>
      </c>
      <c r="D2156" s="281" t="s">
        <v>69</v>
      </c>
      <c r="E2156" s="255" t="s">
        <v>84</v>
      </c>
      <c r="L2156" s="264">
        <v>9685</v>
      </c>
      <c r="M2156" s="264">
        <v>9731</v>
      </c>
      <c r="N2156" s="264">
        <v>9778</v>
      </c>
    </row>
    <row r="2157" spans="1:14" hidden="1">
      <c r="A2157" s="281"/>
      <c r="B2157" s="282"/>
      <c r="C2157" s="281"/>
      <c r="D2157" s="281"/>
      <c r="E2157" s="255" t="s">
        <v>226</v>
      </c>
      <c r="L2157" s="264">
        <v>284514</v>
      </c>
      <c r="M2157" s="264">
        <v>284468</v>
      </c>
      <c r="N2157" s="264">
        <v>284421</v>
      </c>
    </row>
    <row r="2158" spans="1:14" hidden="1">
      <c r="A2158" s="281"/>
      <c r="B2158" s="282"/>
      <c r="C2158" s="281"/>
      <c r="D2158" s="281"/>
      <c r="E2158" s="255" t="s">
        <v>242</v>
      </c>
      <c r="L2158" s="264">
        <v>13272</v>
      </c>
      <c r="M2158" s="264">
        <v>13272</v>
      </c>
      <c r="N2158" s="264">
        <v>13272</v>
      </c>
    </row>
    <row r="2159" spans="1:14" ht="30" hidden="1">
      <c r="A2159" s="281" t="s">
        <v>401</v>
      </c>
      <c r="B2159" s="282" t="s">
        <v>402</v>
      </c>
      <c r="C2159" s="281">
        <v>11</v>
      </c>
      <c r="D2159" s="281" t="s">
        <v>100</v>
      </c>
      <c r="E2159" s="255" t="s">
        <v>84</v>
      </c>
      <c r="L2159" s="264">
        <v>1226140.8277851499</v>
      </c>
      <c r="M2159" s="264">
        <v>1231967.4096544983</v>
      </c>
      <c r="N2159" s="264">
        <v>1237821.3239725959</v>
      </c>
    </row>
    <row r="2160" spans="1:14" hidden="1">
      <c r="A2160" s="281"/>
      <c r="B2160" s="282"/>
      <c r="C2160" s="281"/>
      <c r="D2160" s="281"/>
      <c r="E2160" s="255" t="s">
        <v>226</v>
      </c>
      <c r="L2160" s="264">
        <v>58942.730580223557</v>
      </c>
      <c r="M2160" s="264">
        <v>59222.824544592229</v>
      </c>
      <c r="N2160" s="264">
        <v>59504.232427497984</v>
      </c>
    </row>
    <row r="2161" spans="1:14" ht="30" hidden="1">
      <c r="A2161" s="281" t="s">
        <v>365</v>
      </c>
      <c r="B2161" s="282" t="s">
        <v>366</v>
      </c>
      <c r="C2161" s="281">
        <v>11</v>
      </c>
      <c r="D2161" s="281" t="s">
        <v>100</v>
      </c>
      <c r="E2161" s="255" t="s">
        <v>226</v>
      </c>
      <c r="L2161" s="264">
        <v>142488.47402300197</v>
      </c>
      <c r="M2161" s="264">
        <v>142488.47402300197</v>
      </c>
      <c r="N2161" s="264">
        <v>142488.47402300197</v>
      </c>
    </row>
    <row r="2162" spans="1:14" ht="30" hidden="1">
      <c r="A2162" s="281" t="s">
        <v>403</v>
      </c>
      <c r="B2162" s="282" t="s">
        <v>404</v>
      </c>
      <c r="C2162" s="281">
        <v>52</v>
      </c>
      <c r="D2162" s="281" t="s">
        <v>69</v>
      </c>
      <c r="E2162" s="255" t="s">
        <v>226</v>
      </c>
      <c r="L2162" s="264">
        <v>20000</v>
      </c>
      <c r="M2162" s="264"/>
      <c r="N2162" s="264"/>
    </row>
    <row r="2163" spans="1:14" ht="45" hidden="1">
      <c r="A2163" s="281" t="s">
        <v>405</v>
      </c>
      <c r="B2163" s="282" t="s">
        <v>406</v>
      </c>
      <c r="C2163" s="281">
        <v>31</v>
      </c>
      <c r="D2163" s="281" t="s">
        <v>333</v>
      </c>
      <c r="E2163" s="255" t="s">
        <v>226</v>
      </c>
      <c r="L2163" s="264">
        <v>10000</v>
      </c>
      <c r="M2163" s="264">
        <v>10000</v>
      </c>
      <c r="N2163" s="264">
        <v>10000</v>
      </c>
    </row>
    <row r="2164" spans="1:14" hidden="1">
      <c r="A2164" s="281"/>
      <c r="B2164" s="282"/>
      <c r="C2164" s="281">
        <v>43</v>
      </c>
      <c r="D2164" s="281" t="s">
        <v>104</v>
      </c>
      <c r="E2164" s="255" t="s">
        <v>84</v>
      </c>
      <c r="L2164" s="264">
        <v>7000</v>
      </c>
      <c r="M2164" s="264">
        <v>7000</v>
      </c>
      <c r="N2164" s="264">
        <v>7000</v>
      </c>
    </row>
    <row r="2165" spans="1:14" hidden="1">
      <c r="A2165" s="281"/>
      <c r="B2165" s="282"/>
      <c r="C2165" s="281"/>
      <c r="D2165" s="281"/>
      <c r="E2165" s="255" t="s">
        <v>226</v>
      </c>
      <c r="L2165" s="264">
        <v>156000</v>
      </c>
      <c r="M2165" s="264">
        <v>156000</v>
      </c>
      <c r="N2165" s="264">
        <v>156000</v>
      </c>
    </row>
    <row r="2166" spans="1:14" hidden="1">
      <c r="A2166" s="281"/>
      <c r="B2166" s="282"/>
      <c r="C2166" s="281"/>
      <c r="D2166" s="281"/>
      <c r="E2166" s="255" t="s">
        <v>192</v>
      </c>
      <c r="L2166" s="264">
        <v>1000</v>
      </c>
      <c r="M2166" s="264">
        <v>1000</v>
      </c>
      <c r="N2166" s="264">
        <v>1000</v>
      </c>
    </row>
    <row r="2167" spans="1:14" hidden="1">
      <c r="A2167" s="281"/>
      <c r="B2167" s="282"/>
      <c r="C2167" s="281"/>
      <c r="D2167" s="281"/>
      <c r="E2167" s="255" t="s">
        <v>367</v>
      </c>
      <c r="L2167" s="264">
        <v>57000</v>
      </c>
      <c r="M2167" s="264">
        <v>57000</v>
      </c>
      <c r="N2167" s="264">
        <v>57000</v>
      </c>
    </row>
    <row r="2168" spans="1:14" hidden="1">
      <c r="A2168" s="281"/>
      <c r="B2168" s="282"/>
      <c r="C2168" s="281">
        <v>52</v>
      </c>
      <c r="D2168" s="281" t="s">
        <v>69</v>
      </c>
      <c r="E2168" s="255" t="s">
        <v>226</v>
      </c>
      <c r="L2168" s="264">
        <v>13272</v>
      </c>
      <c r="M2168" s="264">
        <v>13272</v>
      </c>
      <c r="N2168" s="264">
        <v>13272</v>
      </c>
    </row>
    <row r="2169" spans="1:14" ht="30" hidden="1">
      <c r="A2169" s="281" t="s">
        <v>401</v>
      </c>
      <c r="B2169" s="282" t="s">
        <v>402</v>
      </c>
      <c r="C2169" s="281">
        <v>11</v>
      </c>
      <c r="D2169" s="281" t="s">
        <v>100</v>
      </c>
      <c r="E2169" s="255" t="s">
        <v>84</v>
      </c>
      <c r="L2169" s="264">
        <v>1220645.2681266393</v>
      </c>
      <c r="M2169" s="264">
        <v>1226445.7352728315</v>
      </c>
      <c r="N2169" s="264">
        <v>1232273.4123638161</v>
      </c>
    </row>
    <row r="2170" spans="1:14" hidden="1">
      <c r="A2170" s="281"/>
      <c r="B2170" s="282"/>
      <c r="C2170" s="281"/>
      <c r="D2170" s="281"/>
      <c r="E2170" s="255" t="s">
        <v>226</v>
      </c>
      <c r="L2170" s="264">
        <v>40266.145563186656</v>
      </c>
      <c r="M2170" s="264">
        <v>40457.488994846797</v>
      </c>
      <c r="N2170" s="264">
        <v>40649.73001700794</v>
      </c>
    </row>
    <row r="2171" spans="1:14" ht="30" hidden="1">
      <c r="A2171" s="281" t="s">
        <v>365</v>
      </c>
      <c r="B2171" s="282" t="s">
        <v>366</v>
      </c>
      <c r="C2171" s="281">
        <v>11</v>
      </c>
      <c r="D2171" s="281" t="s">
        <v>100</v>
      </c>
      <c r="E2171" s="255" t="s">
        <v>226</v>
      </c>
      <c r="L2171" s="264">
        <v>182308.93876264262</v>
      </c>
      <c r="M2171" s="264">
        <v>182308.93876264262</v>
      </c>
      <c r="N2171" s="264">
        <v>182308.93876264262</v>
      </c>
    </row>
    <row r="2172" spans="1:14" hidden="1">
      <c r="A2172" s="281"/>
      <c r="B2172" s="282"/>
      <c r="C2172" s="281"/>
      <c r="D2172" s="281"/>
      <c r="E2172" s="255" t="s">
        <v>209</v>
      </c>
      <c r="L2172" s="264">
        <v>7670.473678449961</v>
      </c>
      <c r="M2172" s="264">
        <v>7670.473678449961</v>
      </c>
      <c r="N2172" s="264">
        <v>7670.473678449961</v>
      </c>
    </row>
    <row r="2173" spans="1:14" hidden="1">
      <c r="A2173" s="281"/>
      <c r="B2173" s="282"/>
      <c r="C2173" s="281"/>
      <c r="D2173" s="281"/>
      <c r="E2173" s="255" t="s">
        <v>367</v>
      </c>
      <c r="L2173" s="264">
        <v>7669.648097384581</v>
      </c>
      <c r="M2173" s="264">
        <v>7669.648097384581</v>
      </c>
      <c r="N2173" s="264">
        <v>7669.648097384581</v>
      </c>
    </row>
    <row r="2174" spans="1:14" ht="45" hidden="1">
      <c r="A2174" s="281" t="s">
        <v>405</v>
      </c>
      <c r="B2174" s="282" t="s">
        <v>406</v>
      </c>
      <c r="C2174" s="281">
        <v>31</v>
      </c>
      <c r="D2174" s="281" t="s">
        <v>333</v>
      </c>
      <c r="E2174" s="255" t="s">
        <v>226</v>
      </c>
      <c r="L2174" s="264">
        <v>38490</v>
      </c>
      <c r="M2174" s="264">
        <v>38490</v>
      </c>
      <c r="N2174" s="264">
        <v>38490</v>
      </c>
    </row>
    <row r="2175" spans="1:14" hidden="1">
      <c r="A2175" s="281"/>
      <c r="B2175" s="282"/>
      <c r="C2175" s="281">
        <v>43</v>
      </c>
      <c r="D2175" s="281" t="s">
        <v>104</v>
      </c>
      <c r="E2175" s="255" t="s">
        <v>84</v>
      </c>
      <c r="L2175" s="264">
        <v>21567</v>
      </c>
      <c r="M2175" s="264">
        <v>21567</v>
      </c>
      <c r="N2175" s="264">
        <v>21567</v>
      </c>
    </row>
    <row r="2176" spans="1:14" hidden="1">
      <c r="A2176" s="281"/>
      <c r="B2176" s="282"/>
      <c r="C2176" s="281"/>
      <c r="D2176" s="281"/>
      <c r="E2176" s="255" t="s">
        <v>226</v>
      </c>
      <c r="L2176" s="264">
        <v>419069</v>
      </c>
      <c r="M2176" s="264">
        <v>405870</v>
      </c>
      <c r="N2176" s="264">
        <v>396785</v>
      </c>
    </row>
    <row r="2177" spans="1:14" hidden="1">
      <c r="A2177" s="281"/>
      <c r="B2177" s="282"/>
      <c r="C2177" s="281"/>
      <c r="D2177" s="281"/>
      <c r="E2177" s="255" t="s">
        <v>192</v>
      </c>
      <c r="L2177" s="264">
        <v>6636</v>
      </c>
      <c r="M2177" s="264">
        <v>6640</v>
      </c>
      <c r="N2177" s="264">
        <v>6640</v>
      </c>
    </row>
    <row r="2178" spans="1:14" hidden="1">
      <c r="A2178" s="281"/>
      <c r="B2178" s="282"/>
      <c r="C2178" s="281"/>
      <c r="D2178" s="281"/>
      <c r="E2178" s="255" t="s">
        <v>209</v>
      </c>
      <c r="L2178" s="264">
        <v>15927</v>
      </c>
      <c r="M2178" s="264">
        <v>15930</v>
      </c>
      <c r="N2178" s="264">
        <v>15930</v>
      </c>
    </row>
    <row r="2179" spans="1:14" hidden="1">
      <c r="A2179" s="281"/>
      <c r="B2179" s="282"/>
      <c r="C2179" s="281"/>
      <c r="D2179" s="281"/>
      <c r="E2179" s="255" t="s">
        <v>367</v>
      </c>
      <c r="L2179" s="264">
        <v>103524</v>
      </c>
      <c r="M2179" s="264">
        <v>21780</v>
      </c>
      <c r="N2179" s="264">
        <v>18520</v>
      </c>
    </row>
    <row r="2180" spans="1:14" hidden="1">
      <c r="A2180" s="281"/>
      <c r="B2180" s="282"/>
      <c r="C2180" s="281">
        <v>52</v>
      </c>
      <c r="D2180" s="281" t="s">
        <v>69</v>
      </c>
      <c r="E2180" s="255" t="s">
        <v>84</v>
      </c>
      <c r="L2180" s="264">
        <v>6000</v>
      </c>
      <c r="M2180" s="264">
        <v>11000</v>
      </c>
      <c r="N2180" s="264">
        <v>930</v>
      </c>
    </row>
    <row r="2181" spans="1:14" hidden="1">
      <c r="A2181" s="281"/>
      <c r="B2181" s="282"/>
      <c r="C2181" s="281"/>
      <c r="D2181" s="281"/>
      <c r="E2181" s="255" t="s">
        <v>226</v>
      </c>
      <c r="L2181" s="264">
        <v>179681</v>
      </c>
      <c r="M2181" s="264">
        <v>72581</v>
      </c>
      <c r="N2181" s="264">
        <v>48468</v>
      </c>
    </row>
    <row r="2182" spans="1:14" ht="30" hidden="1">
      <c r="A2182" s="281" t="s">
        <v>388</v>
      </c>
      <c r="B2182" s="282" t="s">
        <v>389</v>
      </c>
      <c r="C2182" s="281">
        <v>12</v>
      </c>
      <c r="D2182" s="281" t="s">
        <v>102</v>
      </c>
      <c r="E2182" s="255" t="s">
        <v>84</v>
      </c>
      <c r="L2182" s="264">
        <v>6344.6088522502114</v>
      </c>
      <c r="M2182" s="264">
        <v>0</v>
      </c>
      <c r="N2182" s="264">
        <v>0</v>
      </c>
    </row>
    <row r="2183" spans="1:14" hidden="1">
      <c r="A2183" s="281"/>
      <c r="B2183" s="282"/>
      <c r="C2183" s="281"/>
      <c r="D2183" s="281"/>
      <c r="E2183" s="255" t="s">
        <v>226</v>
      </c>
      <c r="L2183" s="264">
        <v>3480.530511196213</v>
      </c>
      <c r="M2183" s="264">
        <v>0</v>
      </c>
      <c r="N2183" s="264">
        <v>0</v>
      </c>
    </row>
    <row r="2184" spans="1:14" hidden="1">
      <c r="A2184" s="281"/>
      <c r="B2184" s="282"/>
      <c r="C2184" s="281"/>
      <c r="D2184" s="281"/>
      <c r="E2184" s="255" t="s">
        <v>264</v>
      </c>
      <c r="L2184" s="264">
        <v>1205.1986247724201</v>
      </c>
      <c r="M2184" s="264">
        <v>0</v>
      </c>
      <c r="N2184" s="264">
        <v>0</v>
      </c>
    </row>
    <row r="2185" spans="1:14" hidden="1">
      <c r="A2185" s="281"/>
      <c r="B2185" s="282"/>
      <c r="C2185" s="281">
        <v>561</v>
      </c>
      <c r="D2185" s="281" t="s">
        <v>390</v>
      </c>
      <c r="E2185" s="255" t="s">
        <v>84</v>
      </c>
      <c r="L2185" s="264">
        <v>35943.374991325429</v>
      </c>
      <c r="M2185" s="264">
        <v>0</v>
      </c>
      <c r="N2185" s="264">
        <v>0</v>
      </c>
    </row>
    <row r="2186" spans="1:14" hidden="1">
      <c r="A2186" s="281"/>
      <c r="B2186" s="282"/>
      <c r="C2186" s="281"/>
      <c r="D2186" s="281"/>
      <c r="E2186" s="255" t="s">
        <v>226</v>
      </c>
      <c r="L2186" s="264">
        <v>19725.740818054692</v>
      </c>
      <c r="M2186" s="264">
        <v>0</v>
      </c>
      <c r="N2186" s="264">
        <v>0</v>
      </c>
    </row>
    <row r="2187" spans="1:14" hidden="1">
      <c r="A2187" s="281"/>
      <c r="B2187" s="282"/>
      <c r="C2187" s="281"/>
      <c r="D2187" s="281"/>
      <c r="E2187" s="255" t="s">
        <v>264</v>
      </c>
      <c r="L2187" s="264">
        <v>6836.1327905266771</v>
      </c>
      <c r="M2187" s="264">
        <v>0</v>
      </c>
      <c r="N2187" s="264">
        <v>0</v>
      </c>
    </row>
    <row r="2188" spans="1:14" ht="30" hidden="1">
      <c r="A2188" s="281" t="s">
        <v>407</v>
      </c>
      <c r="B2188" s="282" t="s">
        <v>408</v>
      </c>
      <c r="C2188" s="281">
        <v>11</v>
      </c>
      <c r="D2188" s="281" t="s">
        <v>100</v>
      </c>
      <c r="E2188" s="255" t="s">
        <v>84</v>
      </c>
      <c r="L2188" s="264">
        <v>2057705.9556893478</v>
      </c>
      <c r="M2188" s="264">
        <v>2067512.6855185761</v>
      </c>
      <c r="N2188" s="264">
        <v>2077365.373691153</v>
      </c>
    </row>
    <row r="2189" spans="1:14" hidden="1">
      <c r="A2189" s="281"/>
      <c r="B2189" s="282"/>
      <c r="C2189" s="281"/>
      <c r="D2189" s="281"/>
      <c r="E2189" s="255" t="s">
        <v>226</v>
      </c>
      <c r="L2189" s="264">
        <v>35353.879216121211</v>
      </c>
      <c r="M2189" s="264">
        <v>35522.370705845024</v>
      </c>
      <c r="N2189" s="264">
        <v>35691.65181554114</v>
      </c>
    </row>
    <row r="2190" spans="1:14" ht="30" hidden="1">
      <c r="A2190" s="281" t="s">
        <v>381</v>
      </c>
      <c r="B2190" s="282" t="s">
        <v>382</v>
      </c>
      <c r="C2190" s="281">
        <v>11</v>
      </c>
      <c r="D2190" s="281" t="s">
        <v>100</v>
      </c>
      <c r="E2190" s="255" t="s">
        <v>226</v>
      </c>
      <c r="L2190" s="264">
        <v>266</v>
      </c>
      <c r="M2190" s="264">
        <v>266</v>
      </c>
      <c r="N2190" s="264">
        <v>266</v>
      </c>
    </row>
    <row r="2191" spans="1:14" hidden="1">
      <c r="A2191" s="281" t="s">
        <v>383</v>
      </c>
      <c r="B2191" s="282" t="s">
        <v>384</v>
      </c>
      <c r="C2191" s="281">
        <v>11</v>
      </c>
      <c r="D2191" s="281" t="s">
        <v>100</v>
      </c>
      <c r="E2191" s="255" t="s">
        <v>84</v>
      </c>
      <c r="L2191" s="264">
        <v>14305.693600000001</v>
      </c>
      <c r="M2191" s="264">
        <v>14305.693600000001</v>
      </c>
      <c r="N2191" s="264">
        <v>14305.693600000001</v>
      </c>
    </row>
    <row r="2192" spans="1:14" hidden="1">
      <c r="A2192" s="281"/>
      <c r="B2192" s="282"/>
      <c r="C2192" s="281"/>
      <c r="D2192" s="281"/>
      <c r="E2192" s="255" t="s">
        <v>226</v>
      </c>
      <c r="L2192" s="264">
        <v>650.25880000000006</v>
      </c>
      <c r="M2192" s="264">
        <v>650.25880000000006</v>
      </c>
      <c r="N2192" s="264">
        <v>650.25880000000006</v>
      </c>
    </row>
    <row r="2193" spans="1:14" hidden="1">
      <c r="A2193" s="281"/>
      <c r="B2193" s="282"/>
      <c r="C2193" s="281"/>
      <c r="D2193" s="281"/>
      <c r="E2193" s="255" t="s">
        <v>192</v>
      </c>
      <c r="L2193" s="264">
        <v>650.25880000000006</v>
      </c>
      <c r="M2193" s="264">
        <v>650.25880000000006</v>
      </c>
      <c r="N2193" s="264">
        <v>650.25880000000006</v>
      </c>
    </row>
    <row r="2194" spans="1:14" ht="30" hidden="1">
      <c r="A2194" s="281" t="s">
        <v>365</v>
      </c>
      <c r="B2194" s="282" t="s">
        <v>366</v>
      </c>
      <c r="C2194" s="281">
        <v>11</v>
      </c>
      <c r="D2194" s="281" t="s">
        <v>100</v>
      </c>
      <c r="E2194" s="255" t="s">
        <v>226</v>
      </c>
      <c r="L2194" s="264">
        <v>249766.4441034272</v>
      </c>
      <c r="M2194" s="264">
        <v>249766.4441034272</v>
      </c>
      <c r="N2194" s="264">
        <v>249766.4441034272</v>
      </c>
    </row>
    <row r="2195" spans="1:14" hidden="1">
      <c r="A2195" s="281"/>
      <c r="B2195" s="282"/>
      <c r="C2195" s="281"/>
      <c r="D2195" s="281"/>
      <c r="E2195" s="255" t="s">
        <v>367</v>
      </c>
      <c r="L2195" s="264">
        <v>4127.9070138137731</v>
      </c>
      <c r="M2195" s="264">
        <v>4127.9070138137731</v>
      </c>
      <c r="N2195" s="264">
        <v>4127.9070138137731</v>
      </c>
    </row>
    <row r="2196" spans="1:14" ht="30" hidden="1">
      <c r="A2196" s="281" t="s">
        <v>409</v>
      </c>
      <c r="B2196" s="282" t="s">
        <v>410</v>
      </c>
      <c r="C2196" s="281">
        <v>51</v>
      </c>
      <c r="D2196" s="281" t="s">
        <v>109</v>
      </c>
      <c r="E2196" s="255" t="s">
        <v>226</v>
      </c>
      <c r="L2196" s="264">
        <v>1800</v>
      </c>
      <c r="M2196" s="264">
        <v>0</v>
      </c>
      <c r="N2196" s="264">
        <v>0</v>
      </c>
    </row>
    <row r="2197" spans="1:14" ht="30" hidden="1">
      <c r="A2197" s="281" t="s">
        <v>411</v>
      </c>
      <c r="B2197" s="282" t="s">
        <v>412</v>
      </c>
      <c r="C2197" s="281">
        <v>31</v>
      </c>
      <c r="D2197" s="281" t="s">
        <v>333</v>
      </c>
      <c r="E2197" s="255" t="s">
        <v>84</v>
      </c>
      <c r="L2197" s="264">
        <v>2300</v>
      </c>
      <c r="M2197" s="264">
        <v>2300</v>
      </c>
      <c r="N2197" s="264">
        <v>2300</v>
      </c>
    </row>
    <row r="2198" spans="1:14" hidden="1">
      <c r="A2198" s="281"/>
      <c r="B2198" s="282"/>
      <c r="C2198" s="281"/>
      <c r="D2198" s="281"/>
      <c r="E2198" s="255" t="s">
        <v>226</v>
      </c>
      <c r="L2198" s="264">
        <v>18200</v>
      </c>
      <c r="M2198" s="264">
        <v>17750</v>
      </c>
      <c r="N2198" s="264">
        <v>18750</v>
      </c>
    </row>
    <row r="2199" spans="1:14" hidden="1">
      <c r="A2199" s="281"/>
      <c r="B2199" s="282"/>
      <c r="C2199" s="281"/>
      <c r="D2199" s="281"/>
      <c r="E2199" s="255" t="s">
        <v>192</v>
      </c>
      <c r="L2199" s="264">
        <v>0</v>
      </c>
      <c r="M2199" s="264">
        <v>0</v>
      </c>
      <c r="N2199" s="264">
        <v>0</v>
      </c>
    </row>
    <row r="2200" spans="1:14" hidden="1">
      <c r="A2200" s="281"/>
      <c r="B2200" s="282"/>
      <c r="C2200" s="281"/>
      <c r="D2200" s="281"/>
      <c r="E2200" s="255" t="s">
        <v>204</v>
      </c>
      <c r="L2200" s="264">
        <v>1300</v>
      </c>
      <c r="M2200" s="264">
        <v>1400</v>
      </c>
      <c r="N2200" s="264">
        <v>1500</v>
      </c>
    </row>
    <row r="2201" spans="1:14" hidden="1">
      <c r="A2201" s="281"/>
      <c r="B2201" s="282"/>
      <c r="C2201" s="281"/>
      <c r="D2201" s="281"/>
      <c r="E2201" s="255" t="s">
        <v>367</v>
      </c>
      <c r="L2201" s="264">
        <v>1200</v>
      </c>
      <c r="M2201" s="264">
        <v>1200</v>
      </c>
      <c r="N2201" s="264">
        <v>1400</v>
      </c>
    </row>
    <row r="2202" spans="1:14" hidden="1">
      <c r="A2202" s="281"/>
      <c r="B2202" s="282"/>
      <c r="C2202" s="281">
        <v>43</v>
      </c>
      <c r="D2202" s="281" t="s">
        <v>104</v>
      </c>
      <c r="E2202" s="255" t="s">
        <v>84</v>
      </c>
      <c r="L2202" s="264">
        <v>28100</v>
      </c>
      <c r="M2202" s="264">
        <v>28800</v>
      </c>
      <c r="N2202" s="264">
        <v>29500</v>
      </c>
    </row>
    <row r="2203" spans="1:14" hidden="1">
      <c r="A2203" s="281"/>
      <c r="B2203" s="282"/>
      <c r="C2203" s="281"/>
      <c r="D2203" s="281"/>
      <c r="E2203" s="255" t="s">
        <v>226</v>
      </c>
      <c r="L2203" s="264">
        <v>35100</v>
      </c>
      <c r="M2203" s="264">
        <v>37000</v>
      </c>
      <c r="N2203" s="264">
        <v>38150</v>
      </c>
    </row>
    <row r="2204" spans="1:14" hidden="1">
      <c r="A2204" s="281"/>
      <c r="B2204" s="282"/>
      <c r="C2204" s="281"/>
      <c r="D2204" s="281"/>
      <c r="E2204" s="255" t="s">
        <v>192</v>
      </c>
      <c r="L2204" s="264">
        <v>1300</v>
      </c>
      <c r="M2204" s="264">
        <v>1400</v>
      </c>
      <c r="N2204" s="264">
        <v>1400</v>
      </c>
    </row>
    <row r="2205" spans="1:14" hidden="1">
      <c r="A2205" s="281"/>
      <c r="B2205" s="282"/>
      <c r="C2205" s="281"/>
      <c r="D2205" s="281"/>
      <c r="E2205" s="255" t="s">
        <v>204</v>
      </c>
      <c r="L2205" s="264">
        <v>1700</v>
      </c>
      <c r="M2205" s="264">
        <v>1750</v>
      </c>
      <c r="N2205" s="264">
        <v>1800</v>
      </c>
    </row>
    <row r="2206" spans="1:14" hidden="1">
      <c r="A2206" s="281"/>
      <c r="B2206" s="282"/>
      <c r="C2206" s="281"/>
      <c r="D2206" s="281"/>
      <c r="E2206" s="255" t="s">
        <v>367</v>
      </c>
      <c r="L2206" s="264">
        <v>2200</v>
      </c>
      <c r="M2206" s="264">
        <v>2200</v>
      </c>
      <c r="N2206" s="264">
        <v>2200</v>
      </c>
    </row>
    <row r="2207" spans="1:14" hidden="1">
      <c r="A2207" s="281"/>
      <c r="B2207" s="282"/>
      <c r="C2207" s="281">
        <v>52</v>
      </c>
      <c r="D2207" s="281" t="s">
        <v>69</v>
      </c>
      <c r="E2207" s="255" t="s">
        <v>84</v>
      </c>
      <c r="L2207" s="264">
        <v>1000</v>
      </c>
      <c r="M2207" s="264">
        <v>1000</v>
      </c>
      <c r="N2207" s="264">
        <v>1000</v>
      </c>
    </row>
    <row r="2208" spans="1:14" hidden="1">
      <c r="A2208" s="281"/>
      <c r="B2208" s="282"/>
      <c r="C2208" s="281"/>
      <c r="D2208" s="281"/>
      <c r="E2208" s="255" t="s">
        <v>226</v>
      </c>
      <c r="L2208" s="264">
        <v>17200</v>
      </c>
      <c r="M2208" s="264">
        <v>19200</v>
      </c>
      <c r="N2208" s="264">
        <v>20000</v>
      </c>
    </row>
    <row r="2209" spans="1:14" hidden="1">
      <c r="A2209" s="281"/>
      <c r="B2209" s="282"/>
      <c r="C2209" s="281"/>
      <c r="D2209" s="281"/>
      <c r="E2209" s="255" t="s">
        <v>367</v>
      </c>
      <c r="L2209" s="264">
        <v>1600</v>
      </c>
      <c r="M2209" s="264">
        <v>1700</v>
      </c>
      <c r="N2209" s="264">
        <v>1700</v>
      </c>
    </row>
    <row r="2210" spans="1:14" ht="30" hidden="1">
      <c r="A2210" s="281" t="s">
        <v>419</v>
      </c>
      <c r="B2210" s="282" t="s">
        <v>420</v>
      </c>
      <c r="C2210" s="281">
        <v>11</v>
      </c>
      <c r="D2210" s="281" t="s">
        <v>100</v>
      </c>
      <c r="E2210" s="255" t="s">
        <v>84</v>
      </c>
      <c r="L2210" s="264">
        <v>1239186.2722161161</v>
      </c>
      <c r="M2210" s="264">
        <v>1245074.8456187996</v>
      </c>
      <c r="N2210" s="264">
        <v>1250991.0422720166</v>
      </c>
    </row>
    <row r="2211" spans="1:14" hidden="1">
      <c r="A2211" s="281"/>
      <c r="B2211" s="282"/>
      <c r="C2211" s="281"/>
      <c r="D2211" s="281"/>
      <c r="E2211" s="255" t="s">
        <v>226</v>
      </c>
      <c r="L2211" s="264">
        <v>36637.999908651807</v>
      </c>
      <c r="M2211" s="264">
        <v>36812.102508581171</v>
      </c>
      <c r="N2211" s="264">
        <v>36987.021822408387</v>
      </c>
    </row>
    <row r="2212" spans="1:14" ht="30" hidden="1">
      <c r="A2212" s="281" t="s">
        <v>365</v>
      </c>
      <c r="B2212" s="282" t="s">
        <v>366</v>
      </c>
      <c r="C2212" s="281">
        <v>11</v>
      </c>
      <c r="D2212" s="281" t="s">
        <v>100</v>
      </c>
      <c r="E2212" s="255" t="s">
        <v>226</v>
      </c>
      <c r="L2212" s="264">
        <v>35566.04683101947</v>
      </c>
      <c r="M2212" s="264">
        <v>35566.04683101947</v>
      </c>
      <c r="N2212" s="264">
        <v>35566.04683101947</v>
      </c>
    </row>
    <row r="2213" spans="1:14" ht="30" hidden="1">
      <c r="A2213" s="281" t="s">
        <v>421</v>
      </c>
      <c r="B2213" s="282" t="s">
        <v>422</v>
      </c>
      <c r="C2213" s="281">
        <v>31</v>
      </c>
      <c r="D2213" s="281" t="s">
        <v>333</v>
      </c>
      <c r="E2213" s="255" t="s">
        <v>226</v>
      </c>
      <c r="L2213" s="264">
        <v>6636</v>
      </c>
      <c r="M2213" s="264">
        <v>6636</v>
      </c>
      <c r="N2213" s="264">
        <v>6636</v>
      </c>
    </row>
    <row r="2214" spans="1:14" hidden="1">
      <c r="A2214" s="281"/>
      <c r="B2214" s="282"/>
      <c r="C2214" s="281"/>
      <c r="D2214" s="281"/>
      <c r="E2214" s="255" t="s">
        <v>367</v>
      </c>
      <c r="L2214" s="264">
        <v>7036</v>
      </c>
      <c r="M2214" s="264">
        <v>9690</v>
      </c>
      <c r="N2214" s="264">
        <v>12344</v>
      </c>
    </row>
    <row r="2215" spans="1:14" hidden="1">
      <c r="A2215" s="281"/>
      <c r="B2215" s="282"/>
      <c r="C2215" s="281">
        <v>43</v>
      </c>
      <c r="D2215" s="281" t="s">
        <v>104</v>
      </c>
      <c r="E2215" s="255" t="s">
        <v>84</v>
      </c>
      <c r="L2215" s="264">
        <v>3092</v>
      </c>
      <c r="M2215" s="264">
        <v>0</v>
      </c>
      <c r="N2215" s="264">
        <v>0</v>
      </c>
    </row>
    <row r="2216" spans="1:14" hidden="1">
      <c r="A2216" s="281"/>
      <c r="B2216" s="282"/>
      <c r="C2216" s="281"/>
      <c r="D2216" s="281"/>
      <c r="E2216" s="255" t="s">
        <v>226</v>
      </c>
      <c r="L2216" s="264">
        <v>68883</v>
      </c>
      <c r="M2216" s="264">
        <v>64901</v>
      </c>
      <c r="N2216" s="264">
        <v>64769</v>
      </c>
    </row>
    <row r="2217" spans="1:14" hidden="1">
      <c r="A2217" s="281"/>
      <c r="B2217" s="282"/>
      <c r="C2217" s="281"/>
      <c r="D2217" s="281"/>
      <c r="E2217" s="255" t="s">
        <v>192</v>
      </c>
      <c r="L2217" s="264">
        <v>531</v>
      </c>
      <c r="M2217" s="264">
        <v>531</v>
      </c>
      <c r="N2217" s="264">
        <v>531</v>
      </c>
    </row>
    <row r="2218" spans="1:14" hidden="1">
      <c r="A2218" s="281"/>
      <c r="B2218" s="282"/>
      <c r="C2218" s="281"/>
      <c r="D2218" s="281"/>
      <c r="E2218" s="255" t="s">
        <v>209</v>
      </c>
      <c r="L2218" s="264">
        <v>1593</v>
      </c>
      <c r="M2218" s="264">
        <v>1593</v>
      </c>
      <c r="N2218" s="264">
        <v>1593</v>
      </c>
    </row>
    <row r="2219" spans="1:14" hidden="1">
      <c r="A2219" s="281"/>
      <c r="B2219" s="282"/>
      <c r="C2219" s="281"/>
      <c r="D2219" s="281"/>
      <c r="E2219" s="255" t="s">
        <v>367</v>
      </c>
      <c r="L2219" s="264">
        <v>2654</v>
      </c>
      <c r="M2219" s="264">
        <v>2654</v>
      </c>
      <c r="N2219" s="264">
        <v>2654</v>
      </c>
    </row>
    <row r="2220" spans="1:14" hidden="1">
      <c r="A2220" s="281"/>
      <c r="B2220" s="282"/>
      <c r="C2220" s="281">
        <v>52</v>
      </c>
      <c r="D2220" s="281" t="s">
        <v>69</v>
      </c>
      <c r="E2220" s="255" t="s">
        <v>226</v>
      </c>
      <c r="L2220" s="264">
        <v>17254</v>
      </c>
      <c r="M2220" s="264">
        <v>17254</v>
      </c>
      <c r="N2220" s="264">
        <v>17254</v>
      </c>
    </row>
    <row r="2221" spans="1:14" hidden="1">
      <c r="A2221" s="281"/>
      <c r="B2221" s="282"/>
      <c r="C2221" s="281">
        <v>61</v>
      </c>
      <c r="D2221" s="281" t="s">
        <v>276</v>
      </c>
      <c r="E2221" s="255" t="s">
        <v>226</v>
      </c>
      <c r="L2221" s="264">
        <v>10618</v>
      </c>
      <c r="M2221" s="264">
        <v>10618</v>
      </c>
      <c r="N2221" s="264">
        <v>10618</v>
      </c>
    </row>
    <row r="2222" spans="1:14" ht="30" hidden="1">
      <c r="A2222" s="281" t="s">
        <v>407</v>
      </c>
      <c r="B2222" s="282" t="s">
        <v>408</v>
      </c>
      <c r="C2222" s="281">
        <v>11</v>
      </c>
      <c r="D2222" s="281" t="s">
        <v>100</v>
      </c>
      <c r="E2222" s="255" t="s">
        <v>84</v>
      </c>
      <c r="L2222" s="264">
        <v>1273323.6812189925</v>
      </c>
      <c r="M2222" s="264">
        <v>1279392.1582491277</v>
      </c>
      <c r="N2222" s="264">
        <v>1285489.0746424154</v>
      </c>
    </row>
    <row r="2223" spans="1:14" hidden="1">
      <c r="A2223" s="281"/>
      <c r="B2223" s="282"/>
      <c r="C2223" s="281"/>
      <c r="D2223" s="281"/>
      <c r="E2223" s="255" t="s">
        <v>226</v>
      </c>
      <c r="L2223" s="264">
        <v>32067.23581654868</v>
      </c>
      <c r="M2223" s="264">
        <v>32220.063637819039</v>
      </c>
      <c r="N2223" s="264">
        <v>32373.607672710605</v>
      </c>
    </row>
    <row r="2224" spans="1:14" ht="30" hidden="1">
      <c r="A2224" s="281" t="s">
        <v>381</v>
      </c>
      <c r="B2224" s="282" t="s">
        <v>382</v>
      </c>
      <c r="C2224" s="281">
        <v>11</v>
      </c>
      <c r="D2224" s="281" t="s">
        <v>100</v>
      </c>
      <c r="E2224" s="255" t="s">
        <v>226</v>
      </c>
      <c r="L2224" s="264">
        <v>10754</v>
      </c>
      <c r="M2224" s="264">
        <v>10754</v>
      </c>
      <c r="N2224" s="264">
        <v>10754</v>
      </c>
    </row>
    <row r="2225" spans="1:14" ht="30" hidden="1">
      <c r="A2225" s="281" t="s">
        <v>365</v>
      </c>
      <c r="B2225" s="282" t="s">
        <v>366</v>
      </c>
      <c r="C2225" s="281">
        <v>11</v>
      </c>
      <c r="D2225" s="281" t="s">
        <v>100</v>
      </c>
      <c r="E2225" s="255" t="s">
        <v>226</v>
      </c>
      <c r="L2225" s="264">
        <v>149402.16413236462</v>
      </c>
      <c r="M2225" s="264">
        <v>149402.16413236462</v>
      </c>
      <c r="N2225" s="264">
        <v>149402.16413236462</v>
      </c>
    </row>
    <row r="2226" spans="1:14" hidden="1">
      <c r="A2226" s="281"/>
      <c r="B2226" s="282"/>
      <c r="C2226" s="281"/>
      <c r="D2226" s="281"/>
      <c r="E2226" s="255" t="s">
        <v>192</v>
      </c>
      <c r="L2226" s="264">
        <v>1651.1628055255094</v>
      </c>
      <c r="M2226" s="264">
        <v>1651.1628055255094</v>
      </c>
      <c r="N2226" s="264">
        <v>1651.1628055255094</v>
      </c>
    </row>
    <row r="2227" spans="1:14" hidden="1">
      <c r="A2227" s="281"/>
      <c r="B2227" s="282"/>
      <c r="C2227" s="281"/>
      <c r="D2227" s="281"/>
      <c r="E2227" s="255" t="s">
        <v>367</v>
      </c>
      <c r="L2227" s="264">
        <v>7430.2326248647914</v>
      </c>
      <c r="M2227" s="264">
        <v>7430.2326248647914</v>
      </c>
      <c r="N2227" s="264">
        <v>7430.2326248647914</v>
      </c>
    </row>
    <row r="2228" spans="1:14" ht="30" hidden="1">
      <c r="A2228" s="281" t="s">
        <v>409</v>
      </c>
      <c r="B2228" s="282" t="s">
        <v>410</v>
      </c>
      <c r="C2228" s="281">
        <v>51</v>
      </c>
      <c r="D2228" s="281" t="s">
        <v>109</v>
      </c>
      <c r="E2228" s="255" t="s">
        <v>84</v>
      </c>
      <c r="L2228" s="264">
        <v>8855</v>
      </c>
      <c r="M2228" s="264"/>
      <c r="N2228" s="264"/>
    </row>
    <row r="2229" spans="1:14" hidden="1">
      <c r="A2229" s="281"/>
      <c r="B2229" s="282"/>
      <c r="C2229" s="281"/>
      <c r="D2229" s="281"/>
      <c r="E2229" s="255" t="s">
        <v>226</v>
      </c>
      <c r="L2229" s="264">
        <v>20450</v>
      </c>
      <c r="M2229" s="264">
        <v>13250</v>
      </c>
      <c r="N2229" s="264">
        <v>6450</v>
      </c>
    </row>
    <row r="2230" spans="1:14" hidden="1">
      <c r="A2230" s="281"/>
      <c r="B2230" s="282"/>
      <c r="C2230" s="281"/>
      <c r="D2230" s="281"/>
      <c r="E2230" s="255" t="s">
        <v>367</v>
      </c>
      <c r="L2230" s="264">
        <v>800</v>
      </c>
      <c r="M2230" s="264">
        <v>750</v>
      </c>
      <c r="N2230" s="264"/>
    </row>
    <row r="2231" spans="1:14" ht="30" hidden="1">
      <c r="A2231" s="281" t="s">
        <v>411</v>
      </c>
      <c r="B2231" s="282" t="s">
        <v>412</v>
      </c>
      <c r="C2231" s="281">
        <v>31</v>
      </c>
      <c r="D2231" s="281" t="s">
        <v>333</v>
      </c>
      <c r="E2231" s="255" t="s">
        <v>84</v>
      </c>
      <c r="L2231" s="264">
        <v>4595</v>
      </c>
      <c r="M2231" s="264">
        <v>4762</v>
      </c>
      <c r="N2231" s="264">
        <v>4762</v>
      </c>
    </row>
    <row r="2232" spans="1:14" hidden="1">
      <c r="A2232" s="281"/>
      <c r="B2232" s="282"/>
      <c r="C2232" s="281"/>
      <c r="D2232" s="281"/>
      <c r="E2232" s="255" t="s">
        <v>226</v>
      </c>
      <c r="L2232" s="264">
        <v>9600</v>
      </c>
      <c r="M2232" s="264">
        <v>9645</v>
      </c>
      <c r="N2232" s="264">
        <v>9245</v>
      </c>
    </row>
    <row r="2233" spans="1:14" hidden="1">
      <c r="A2233" s="281"/>
      <c r="B2233" s="282"/>
      <c r="C2233" s="281"/>
      <c r="D2233" s="281"/>
      <c r="E2233" s="255" t="s">
        <v>192</v>
      </c>
      <c r="L2233" s="264">
        <v>15</v>
      </c>
      <c r="M2233" s="264">
        <v>15</v>
      </c>
      <c r="N2233" s="264">
        <v>15</v>
      </c>
    </row>
    <row r="2234" spans="1:14" hidden="1">
      <c r="A2234" s="281"/>
      <c r="B2234" s="282"/>
      <c r="C2234" s="281"/>
      <c r="D2234" s="281"/>
      <c r="E2234" s="255" t="s">
        <v>204</v>
      </c>
      <c r="L2234" s="264">
        <v>621</v>
      </c>
      <c r="M2234" s="264">
        <v>638</v>
      </c>
      <c r="N2234" s="264">
        <v>638</v>
      </c>
    </row>
    <row r="2235" spans="1:14" hidden="1">
      <c r="A2235" s="281"/>
      <c r="B2235" s="282"/>
      <c r="C2235" s="281"/>
      <c r="D2235" s="281"/>
      <c r="E2235" s="255" t="s">
        <v>367</v>
      </c>
      <c r="L2235" s="264">
        <v>4240</v>
      </c>
      <c r="M2235" s="264">
        <v>4150</v>
      </c>
      <c r="N2235" s="264">
        <v>3650</v>
      </c>
    </row>
    <row r="2236" spans="1:14" hidden="1">
      <c r="A2236" s="281"/>
      <c r="B2236" s="282"/>
      <c r="C2236" s="281">
        <v>43</v>
      </c>
      <c r="D2236" s="281" t="s">
        <v>104</v>
      </c>
      <c r="E2236" s="255" t="s">
        <v>84</v>
      </c>
      <c r="L2236" s="264">
        <v>124345</v>
      </c>
      <c r="M2236" s="264">
        <v>126010</v>
      </c>
      <c r="N2236" s="264">
        <v>126675</v>
      </c>
    </row>
    <row r="2237" spans="1:14" hidden="1">
      <c r="A2237" s="281"/>
      <c r="B2237" s="282"/>
      <c r="C2237" s="281"/>
      <c r="D2237" s="281"/>
      <c r="E2237" s="255" t="s">
        <v>226</v>
      </c>
      <c r="L2237" s="264">
        <v>22035</v>
      </c>
      <c r="M2237" s="264">
        <v>23680</v>
      </c>
      <c r="N2237" s="264">
        <v>24700</v>
      </c>
    </row>
    <row r="2238" spans="1:14" hidden="1">
      <c r="A2238" s="281"/>
      <c r="B2238" s="282"/>
      <c r="C2238" s="281"/>
      <c r="D2238" s="281"/>
      <c r="E2238" s="255" t="s">
        <v>192</v>
      </c>
      <c r="L2238" s="264">
        <v>275</v>
      </c>
      <c r="M2238" s="264">
        <v>275</v>
      </c>
      <c r="N2238" s="264">
        <v>275</v>
      </c>
    </row>
    <row r="2239" spans="1:14" hidden="1">
      <c r="A2239" s="281"/>
      <c r="B2239" s="282"/>
      <c r="C2239" s="281"/>
      <c r="D2239" s="281"/>
      <c r="E2239" s="255" t="s">
        <v>204</v>
      </c>
      <c r="L2239" s="264">
        <v>4550</v>
      </c>
      <c r="M2239" s="264">
        <v>4550</v>
      </c>
      <c r="N2239" s="264">
        <v>4550</v>
      </c>
    </row>
    <row r="2240" spans="1:14" hidden="1">
      <c r="A2240" s="281"/>
      <c r="B2240" s="282"/>
      <c r="C2240" s="281"/>
      <c r="D2240" s="281"/>
      <c r="E2240" s="255" t="s">
        <v>367</v>
      </c>
      <c r="L2240" s="264">
        <v>7000</v>
      </c>
      <c r="M2240" s="264">
        <v>9200</v>
      </c>
      <c r="N2240" s="264">
        <v>9000</v>
      </c>
    </row>
    <row r="2241" spans="1:14" hidden="1">
      <c r="A2241" s="281"/>
      <c r="B2241" s="282"/>
      <c r="C2241" s="281">
        <v>52</v>
      </c>
      <c r="D2241" s="281" t="s">
        <v>69</v>
      </c>
      <c r="E2241" s="255" t="s">
        <v>226</v>
      </c>
      <c r="L2241" s="264">
        <v>22650</v>
      </c>
      <c r="M2241" s="264">
        <v>24800</v>
      </c>
      <c r="N2241" s="264">
        <v>24600</v>
      </c>
    </row>
    <row r="2242" spans="1:14" hidden="1">
      <c r="A2242" s="281"/>
      <c r="B2242" s="282"/>
      <c r="C2242" s="281"/>
      <c r="D2242" s="281"/>
      <c r="E2242" s="255" t="s">
        <v>367</v>
      </c>
      <c r="L2242" s="264">
        <v>2300</v>
      </c>
      <c r="M2242" s="264">
        <v>4000</v>
      </c>
      <c r="N2242" s="264">
        <v>2500</v>
      </c>
    </row>
    <row r="2243" spans="1:14" hidden="1">
      <c r="A2243" s="281"/>
      <c r="B2243" s="282"/>
      <c r="C2243" s="281">
        <v>61</v>
      </c>
      <c r="D2243" s="281" t="s">
        <v>276</v>
      </c>
      <c r="E2243" s="255" t="s">
        <v>226</v>
      </c>
      <c r="L2243" s="264">
        <v>500</v>
      </c>
      <c r="M2243" s="264">
        <v>500</v>
      </c>
      <c r="N2243" s="264">
        <v>500</v>
      </c>
    </row>
    <row r="2244" spans="1:14" hidden="1">
      <c r="A2244" s="281"/>
      <c r="B2244" s="282"/>
      <c r="C2244" s="281"/>
      <c r="D2244" s="281"/>
      <c r="E2244" s="255" t="s">
        <v>367</v>
      </c>
      <c r="L2244" s="264">
        <v>2000</v>
      </c>
      <c r="M2244" s="264">
        <v>2000</v>
      </c>
      <c r="N2244" s="264">
        <v>2000</v>
      </c>
    </row>
    <row r="2245" spans="1:14" ht="30" hidden="1">
      <c r="A2245" s="281" t="s">
        <v>401</v>
      </c>
      <c r="B2245" s="282" t="s">
        <v>402</v>
      </c>
      <c r="C2245" s="281">
        <v>11</v>
      </c>
      <c r="D2245" s="281" t="s">
        <v>100</v>
      </c>
      <c r="E2245" s="255" t="s">
        <v>84</v>
      </c>
      <c r="L2245" s="264">
        <v>782282.79978551215</v>
      </c>
      <c r="M2245" s="264">
        <v>786000.18254827941</v>
      </c>
      <c r="N2245" s="264">
        <v>789735.00352372788</v>
      </c>
    </row>
    <row r="2246" spans="1:14" hidden="1">
      <c r="A2246" s="281"/>
      <c r="B2246" s="282"/>
      <c r="C2246" s="281"/>
      <c r="D2246" s="281"/>
      <c r="E2246" s="255" t="s">
        <v>226</v>
      </c>
      <c r="L2246" s="264">
        <v>18703.713085128806</v>
      </c>
      <c r="M2246" s="264">
        <v>18792.592529546429</v>
      </c>
      <c r="N2246" s="264">
        <v>18881.888906723918</v>
      </c>
    </row>
    <row r="2247" spans="1:14" ht="30" hidden="1">
      <c r="A2247" s="281" t="s">
        <v>365</v>
      </c>
      <c r="B2247" s="282" t="s">
        <v>366</v>
      </c>
      <c r="C2247" s="281">
        <v>11</v>
      </c>
      <c r="D2247" s="281" t="s">
        <v>100</v>
      </c>
      <c r="E2247" s="255" t="s">
        <v>226</v>
      </c>
      <c r="L2247" s="264">
        <v>150841.6224704927</v>
      </c>
      <c r="M2247" s="264">
        <v>150841.6224704927</v>
      </c>
      <c r="N2247" s="264">
        <v>150841.6224704927</v>
      </c>
    </row>
    <row r="2248" spans="1:14" ht="45" hidden="1">
      <c r="A2248" s="281" t="s">
        <v>405</v>
      </c>
      <c r="B2248" s="282" t="s">
        <v>406</v>
      </c>
      <c r="C2248" s="281">
        <v>31</v>
      </c>
      <c r="D2248" s="281" t="s">
        <v>333</v>
      </c>
      <c r="E2248" s="255" t="s">
        <v>226</v>
      </c>
      <c r="L2248" s="264">
        <v>2660</v>
      </c>
      <c r="M2248" s="264">
        <v>2660</v>
      </c>
      <c r="N2248" s="264">
        <v>2690</v>
      </c>
    </row>
    <row r="2249" spans="1:14" hidden="1">
      <c r="A2249" s="281"/>
      <c r="B2249" s="282"/>
      <c r="C2249" s="281">
        <v>43</v>
      </c>
      <c r="D2249" s="281" t="s">
        <v>104</v>
      </c>
      <c r="E2249" s="255" t="s">
        <v>226</v>
      </c>
      <c r="L2249" s="264">
        <v>103226</v>
      </c>
      <c r="M2249" s="264">
        <v>103226</v>
      </c>
      <c r="N2249" s="264">
        <v>103206</v>
      </c>
    </row>
    <row r="2250" spans="1:14" hidden="1">
      <c r="A2250" s="281"/>
      <c r="B2250" s="282"/>
      <c r="C2250" s="281"/>
      <c r="D2250" s="281"/>
      <c r="E2250" s="255" t="s">
        <v>192</v>
      </c>
      <c r="L2250" s="264">
        <v>729</v>
      </c>
      <c r="M2250" s="264">
        <v>729</v>
      </c>
      <c r="N2250" s="264">
        <v>729</v>
      </c>
    </row>
    <row r="2251" spans="1:14" hidden="1">
      <c r="A2251" s="281"/>
      <c r="B2251" s="282"/>
      <c r="C2251" s="281"/>
      <c r="D2251" s="281"/>
      <c r="E2251" s="255" t="s">
        <v>209</v>
      </c>
      <c r="L2251" s="264">
        <v>7238</v>
      </c>
      <c r="M2251" s="264">
        <v>7238</v>
      </c>
      <c r="N2251" s="264">
        <v>7238</v>
      </c>
    </row>
    <row r="2252" spans="1:14" hidden="1">
      <c r="A2252" s="281"/>
      <c r="B2252" s="282"/>
      <c r="C2252" s="281"/>
      <c r="D2252" s="281"/>
      <c r="E2252" s="255" t="s">
        <v>215</v>
      </c>
      <c r="L2252" s="264">
        <v>1000</v>
      </c>
      <c r="M2252" s="264">
        <v>1000</v>
      </c>
      <c r="N2252" s="264">
        <v>1000</v>
      </c>
    </row>
    <row r="2253" spans="1:14" hidden="1">
      <c r="A2253" s="281"/>
      <c r="B2253" s="282"/>
      <c r="C2253" s="281"/>
      <c r="D2253" s="281"/>
      <c r="E2253" s="255" t="s">
        <v>367</v>
      </c>
      <c r="L2253" s="264">
        <v>5308</v>
      </c>
      <c r="M2253" s="264">
        <v>71669</v>
      </c>
      <c r="N2253" s="264">
        <v>71669</v>
      </c>
    </row>
    <row r="2254" spans="1:14" hidden="1">
      <c r="A2254" s="281"/>
      <c r="B2254" s="282"/>
      <c r="C2254" s="281"/>
      <c r="D2254" s="281"/>
      <c r="E2254" s="255" t="s">
        <v>322</v>
      </c>
      <c r="L2254" s="264">
        <v>286572</v>
      </c>
      <c r="M2254" s="264">
        <v>0</v>
      </c>
      <c r="N2254" s="264">
        <v>0</v>
      </c>
    </row>
    <row r="2255" spans="1:14" hidden="1">
      <c r="A2255" s="281"/>
      <c r="B2255" s="282"/>
      <c r="C2255" s="281">
        <v>52</v>
      </c>
      <c r="D2255" s="281" t="s">
        <v>69</v>
      </c>
      <c r="E2255" s="255" t="s">
        <v>226</v>
      </c>
      <c r="L2255" s="264">
        <v>11837</v>
      </c>
      <c r="M2255" s="264">
        <v>11837</v>
      </c>
      <c r="N2255" s="264">
        <v>11837</v>
      </c>
    </row>
    <row r="2256" spans="1:14" ht="30" hidden="1">
      <c r="A2256" s="281" t="s">
        <v>442</v>
      </c>
      <c r="B2256" s="282" t="s">
        <v>443</v>
      </c>
      <c r="C2256" s="281">
        <v>11</v>
      </c>
      <c r="D2256" s="281" t="s">
        <v>100</v>
      </c>
      <c r="E2256" s="255" t="s">
        <v>322</v>
      </c>
      <c r="L2256" s="264">
        <v>199085</v>
      </c>
      <c r="M2256" s="264">
        <v>0</v>
      </c>
      <c r="N2256" s="264">
        <v>0</v>
      </c>
    </row>
    <row r="2257" spans="1:14" ht="30" hidden="1">
      <c r="A2257" s="281" t="s">
        <v>381</v>
      </c>
      <c r="B2257" s="282" t="s">
        <v>382</v>
      </c>
      <c r="C2257" s="281">
        <v>11</v>
      </c>
      <c r="D2257" s="281" t="s">
        <v>100</v>
      </c>
      <c r="E2257" s="255" t="s">
        <v>226</v>
      </c>
      <c r="L2257" s="264">
        <v>8175</v>
      </c>
      <c r="M2257" s="264">
        <v>8175</v>
      </c>
      <c r="N2257" s="264">
        <v>8175</v>
      </c>
    </row>
    <row r="2258" spans="1:14" ht="30" hidden="1">
      <c r="A2258" s="281" t="s">
        <v>444</v>
      </c>
      <c r="B2258" s="282" t="s">
        <v>445</v>
      </c>
      <c r="C2258" s="281">
        <v>11</v>
      </c>
      <c r="D2258" s="281" t="s">
        <v>100</v>
      </c>
      <c r="E2258" s="255" t="s">
        <v>84</v>
      </c>
      <c r="L2258" s="264">
        <v>8846040.5008300059</v>
      </c>
      <c r="M2258" s="264">
        <v>8888682.5008300077</v>
      </c>
      <c r="N2258" s="264">
        <v>8931525.5008300077</v>
      </c>
    </row>
    <row r="2259" spans="1:14" hidden="1">
      <c r="A2259" s="281"/>
      <c r="B2259" s="282"/>
      <c r="C2259" s="281"/>
      <c r="D2259" s="281"/>
      <c r="E2259" s="255" t="s">
        <v>226</v>
      </c>
      <c r="L2259" s="264">
        <v>162826.11446531391</v>
      </c>
      <c r="M2259" s="264">
        <v>162826.11446531391</v>
      </c>
      <c r="N2259" s="264">
        <v>162826.11446531391</v>
      </c>
    </row>
    <row r="2260" spans="1:14" hidden="1">
      <c r="A2260" s="281"/>
      <c r="B2260" s="282"/>
      <c r="C2260" s="281"/>
      <c r="D2260" s="281"/>
      <c r="E2260" s="255" t="s">
        <v>215</v>
      </c>
      <c r="L2260" s="264">
        <v>15448.384704680535</v>
      </c>
      <c r="M2260" s="264">
        <v>15448.384704680535</v>
      </c>
      <c r="N2260" s="264">
        <v>15448.384704680535</v>
      </c>
    </row>
    <row r="2261" spans="1:14" hidden="1">
      <c r="A2261" s="281"/>
      <c r="B2261" s="282"/>
      <c r="C2261" s="281">
        <v>12</v>
      </c>
      <c r="D2261" s="281" t="s">
        <v>102</v>
      </c>
      <c r="E2261" s="255" t="s">
        <v>322</v>
      </c>
      <c r="L2261" s="264">
        <v>1990842</v>
      </c>
      <c r="M2261" s="264"/>
      <c r="N2261" s="264"/>
    </row>
    <row r="2262" spans="1:14" hidden="1">
      <c r="A2262" s="281" t="s">
        <v>383</v>
      </c>
      <c r="B2262" s="282" t="s">
        <v>384</v>
      </c>
      <c r="C2262" s="281">
        <v>11</v>
      </c>
      <c r="D2262" s="281" t="s">
        <v>100</v>
      </c>
      <c r="E2262" s="255" t="s">
        <v>84</v>
      </c>
      <c r="L2262" s="264">
        <v>58331.465654</v>
      </c>
      <c r="M2262" s="264">
        <v>58331.465654</v>
      </c>
      <c r="N2262" s="264">
        <v>58331.465654</v>
      </c>
    </row>
    <row r="2263" spans="1:14" ht="30" hidden="1">
      <c r="A2263" s="281" t="s">
        <v>365</v>
      </c>
      <c r="B2263" s="282" t="s">
        <v>366</v>
      </c>
      <c r="C2263" s="281">
        <v>11</v>
      </c>
      <c r="D2263" s="281" t="s">
        <v>100</v>
      </c>
      <c r="E2263" s="255" t="s">
        <v>84</v>
      </c>
      <c r="L2263" s="264">
        <v>112563.09492725146</v>
      </c>
      <c r="M2263" s="264">
        <v>112563.09492725146</v>
      </c>
      <c r="N2263" s="264">
        <v>112563.09492725146</v>
      </c>
    </row>
    <row r="2264" spans="1:14" hidden="1">
      <c r="A2264" s="281"/>
      <c r="B2264" s="282"/>
      <c r="C2264" s="281"/>
      <c r="D2264" s="281"/>
      <c r="E2264" s="255" t="s">
        <v>226</v>
      </c>
      <c r="L2264" s="264">
        <v>1007999.6090263756</v>
      </c>
      <c r="M2264" s="264">
        <v>1007999.6090263756</v>
      </c>
      <c r="N2264" s="264">
        <v>1007999.6090263756</v>
      </c>
    </row>
    <row r="2265" spans="1:14" hidden="1">
      <c r="A2265" s="281"/>
      <c r="B2265" s="282"/>
      <c r="C2265" s="281"/>
      <c r="D2265" s="281"/>
      <c r="E2265" s="255" t="s">
        <v>192</v>
      </c>
      <c r="L2265" s="264">
        <v>6044.90832788634</v>
      </c>
      <c r="M2265" s="264">
        <v>6044.90832788634</v>
      </c>
      <c r="N2265" s="264">
        <v>6044.90832788634</v>
      </c>
    </row>
    <row r="2266" spans="1:14" hidden="1">
      <c r="A2266" s="281"/>
      <c r="B2266" s="282"/>
      <c r="C2266" s="281"/>
      <c r="D2266" s="281"/>
      <c r="E2266" s="255" t="s">
        <v>209</v>
      </c>
      <c r="L2266" s="264">
        <v>34406.112341527347</v>
      </c>
      <c r="M2266" s="264">
        <v>34406.112341527347</v>
      </c>
      <c r="N2266" s="264">
        <v>34406.112341527347</v>
      </c>
    </row>
    <row r="2267" spans="1:14" hidden="1">
      <c r="A2267" s="281"/>
      <c r="B2267" s="282"/>
      <c r="C2267" s="281"/>
      <c r="D2267" s="281"/>
      <c r="E2267" s="255" t="s">
        <v>367</v>
      </c>
      <c r="L2267" s="264">
        <v>93874.404703492488</v>
      </c>
      <c r="M2267" s="264">
        <v>93874.404703492488</v>
      </c>
      <c r="N2267" s="264">
        <v>93874.404703492488</v>
      </c>
    </row>
    <row r="2268" spans="1:14" hidden="1">
      <c r="A2268" s="281"/>
      <c r="B2268" s="282"/>
      <c r="C2268" s="281"/>
      <c r="D2268" s="281"/>
      <c r="E2268" s="255" t="s">
        <v>322</v>
      </c>
      <c r="L2268" s="264">
        <v>19723.143943349449</v>
      </c>
      <c r="M2268" s="264">
        <v>19723.143943349449</v>
      </c>
      <c r="N2268" s="264">
        <v>19723.143943349449</v>
      </c>
    </row>
    <row r="2269" spans="1:14" ht="30" hidden="1">
      <c r="A2269" s="281" t="s">
        <v>446</v>
      </c>
      <c r="B2269" s="282" t="s">
        <v>447</v>
      </c>
      <c r="C2269" s="281">
        <v>51</v>
      </c>
      <c r="D2269" s="281" t="s">
        <v>109</v>
      </c>
      <c r="E2269" s="255" t="s">
        <v>84</v>
      </c>
      <c r="L2269" s="264">
        <v>8746</v>
      </c>
      <c r="M2269" s="264">
        <v>0</v>
      </c>
      <c r="N2269" s="264">
        <v>0</v>
      </c>
    </row>
    <row r="2270" spans="1:14" hidden="1">
      <c r="A2270" s="281"/>
      <c r="B2270" s="282"/>
      <c r="C2270" s="281"/>
      <c r="D2270" s="281"/>
      <c r="E2270" s="255" t="s">
        <v>226</v>
      </c>
      <c r="L2270" s="264">
        <v>142106</v>
      </c>
      <c r="M2270" s="264">
        <v>4069</v>
      </c>
      <c r="N2270" s="264">
        <v>0</v>
      </c>
    </row>
    <row r="2271" spans="1:14" hidden="1">
      <c r="A2271" s="281"/>
      <c r="B2271" s="282"/>
      <c r="C2271" s="281">
        <v>52</v>
      </c>
      <c r="D2271" s="281" t="s">
        <v>69</v>
      </c>
      <c r="E2271" s="255" t="s">
        <v>84</v>
      </c>
      <c r="L2271" s="264">
        <v>82568</v>
      </c>
      <c r="M2271" s="264">
        <v>10669</v>
      </c>
      <c r="N2271" s="264">
        <v>0</v>
      </c>
    </row>
    <row r="2272" spans="1:14" hidden="1">
      <c r="A2272" s="281"/>
      <c r="B2272" s="282"/>
      <c r="C2272" s="281"/>
      <c r="D2272" s="281"/>
      <c r="E2272" s="255" t="s">
        <v>226</v>
      </c>
      <c r="L2272" s="264">
        <v>286696</v>
      </c>
      <c r="M2272" s="264">
        <v>129089</v>
      </c>
      <c r="N2272" s="264">
        <v>0</v>
      </c>
    </row>
    <row r="2273" spans="1:14" ht="30" hidden="1">
      <c r="A2273" s="281" t="s">
        <v>448</v>
      </c>
      <c r="B2273" s="282" t="s">
        <v>449</v>
      </c>
      <c r="C2273" s="281">
        <v>31</v>
      </c>
      <c r="D2273" s="281" t="s">
        <v>333</v>
      </c>
      <c r="E2273" s="255" t="s">
        <v>84</v>
      </c>
      <c r="L2273" s="264">
        <v>101731</v>
      </c>
      <c r="M2273" s="264">
        <v>56891</v>
      </c>
      <c r="N2273" s="264">
        <v>56891</v>
      </c>
    </row>
    <row r="2274" spans="1:14" hidden="1">
      <c r="A2274" s="281"/>
      <c r="B2274" s="282"/>
      <c r="C2274" s="281"/>
      <c r="D2274" s="281"/>
      <c r="E2274" s="255" t="s">
        <v>226</v>
      </c>
      <c r="L2274" s="264">
        <v>614914</v>
      </c>
      <c r="M2274" s="264">
        <v>224311</v>
      </c>
      <c r="N2274" s="264">
        <v>234266</v>
      </c>
    </row>
    <row r="2275" spans="1:14" hidden="1">
      <c r="A2275" s="281"/>
      <c r="B2275" s="282"/>
      <c r="C2275" s="281"/>
      <c r="D2275" s="281"/>
      <c r="E2275" s="255" t="s">
        <v>192</v>
      </c>
      <c r="L2275" s="264">
        <v>7</v>
      </c>
      <c r="M2275" s="264">
        <v>7</v>
      </c>
      <c r="N2275" s="264">
        <v>7</v>
      </c>
    </row>
    <row r="2276" spans="1:14" hidden="1">
      <c r="A2276" s="281"/>
      <c r="B2276" s="282"/>
      <c r="C2276" s="281"/>
      <c r="D2276" s="281"/>
      <c r="E2276" s="255" t="s">
        <v>209</v>
      </c>
      <c r="L2276" s="264">
        <v>1885</v>
      </c>
      <c r="M2276" s="264">
        <v>27</v>
      </c>
      <c r="N2276" s="264">
        <v>26</v>
      </c>
    </row>
    <row r="2277" spans="1:14" hidden="1">
      <c r="A2277" s="281"/>
      <c r="B2277" s="282"/>
      <c r="C2277" s="281"/>
      <c r="D2277" s="281"/>
      <c r="E2277" s="255" t="s">
        <v>367</v>
      </c>
      <c r="L2277" s="264">
        <v>37378</v>
      </c>
      <c r="M2277" s="264">
        <v>18515</v>
      </c>
      <c r="N2277" s="264">
        <v>18515</v>
      </c>
    </row>
    <row r="2278" spans="1:14" hidden="1">
      <c r="A2278" s="281"/>
      <c r="B2278" s="282"/>
      <c r="C2278" s="281"/>
      <c r="D2278" s="281"/>
      <c r="E2278" s="255" t="s">
        <v>322</v>
      </c>
      <c r="L2278" s="264">
        <v>59712</v>
      </c>
      <c r="M2278" s="264">
        <v>59712</v>
      </c>
      <c r="N2278" s="264">
        <v>59712</v>
      </c>
    </row>
    <row r="2279" spans="1:14" hidden="1">
      <c r="A2279" s="281"/>
      <c r="B2279" s="282"/>
      <c r="C2279" s="281">
        <v>43</v>
      </c>
      <c r="D2279" s="281" t="s">
        <v>104</v>
      </c>
      <c r="E2279" s="255" t="s">
        <v>84</v>
      </c>
      <c r="L2279" s="264">
        <v>427637</v>
      </c>
      <c r="M2279" s="264">
        <v>412900</v>
      </c>
      <c r="N2279" s="264">
        <v>415555</v>
      </c>
    </row>
    <row r="2280" spans="1:14" hidden="1">
      <c r="A2280" s="281"/>
      <c r="B2280" s="282"/>
      <c r="C2280" s="281"/>
      <c r="D2280" s="281"/>
      <c r="E2280" s="255" t="s">
        <v>226</v>
      </c>
      <c r="L2280" s="264">
        <v>1065818</v>
      </c>
      <c r="M2280" s="264">
        <v>688119</v>
      </c>
      <c r="N2280" s="264">
        <v>685465</v>
      </c>
    </row>
    <row r="2281" spans="1:14" hidden="1">
      <c r="A2281" s="281"/>
      <c r="B2281" s="282"/>
      <c r="C2281" s="281"/>
      <c r="D2281" s="281"/>
      <c r="E2281" s="255" t="s">
        <v>192</v>
      </c>
      <c r="L2281" s="264">
        <v>240</v>
      </c>
      <c r="M2281" s="264">
        <v>240</v>
      </c>
      <c r="N2281" s="264">
        <v>240</v>
      </c>
    </row>
    <row r="2282" spans="1:14" hidden="1">
      <c r="A2282" s="281"/>
      <c r="B2282" s="282"/>
      <c r="C2282" s="281"/>
      <c r="D2282" s="281"/>
      <c r="E2282" s="255" t="s">
        <v>209</v>
      </c>
      <c r="L2282" s="264">
        <v>9795</v>
      </c>
      <c r="M2282" s="264">
        <v>11414</v>
      </c>
      <c r="N2282" s="264">
        <v>11414</v>
      </c>
    </row>
    <row r="2283" spans="1:14" hidden="1">
      <c r="A2283" s="281"/>
      <c r="B2283" s="282"/>
      <c r="C2283" s="281"/>
      <c r="D2283" s="281"/>
      <c r="E2283" s="255" t="s">
        <v>215</v>
      </c>
      <c r="L2283" s="264">
        <v>1314</v>
      </c>
      <c r="M2283" s="264">
        <v>1314</v>
      </c>
      <c r="N2283" s="264">
        <v>1314</v>
      </c>
    </row>
    <row r="2284" spans="1:14" hidden="1">
      <c r="A2284" s="281"/>
      <c r="B2284" s="282"/>
      <c r="C2284" s="281"/>
      <c r="D2284" s="281"/>
      <c r="E2284" s="255" t="s">
        <v>367</v>
      </c>
      <c r="L2284" s="264">
        <v>151758</v>
      </c>
      <c r="M2284" s="264">
        <v>156683</v>
      </c>
      <c r="N2284" s="264">
        <v>155355</v>
      </c>
    </row>
    <row r="2285" spans="1:14" hidden="1">
      <c r="A2285" s="281"/>
      <c r="B2285" s="282"/>
      <c r="C2285" s="281"/>
      <c r="D2285" s="281"/>
      <c r="E2285" s="255" t="s">
        <v>322</v>
      </c>
      <c r="L2285" s="264">
        <v>8415</v>
      </c>
      <c r="M2285" s="264">
        <v>8415</v>
      </c>
      <c r="N2285" s="264">
        <v>8415</v>
      </c>
    </row>
    <row r="2286" spans="1:14" hidden="1">
      <c r="A2286" s="281"/>
      <c r="B2286" s="282"/>
      <c r="C2286" s="281">
        <v>52</v>
      </c>
      <c r="D2286" s="281" t="s">
        <v>69</v>
      </c>
      <c r="E2286" s="255" t="s">
        <v>84</v>
      </c>
      <c r="L2286" s="264">
        <v>16874</v>
      </c>
      <c r="M2286" s="264">
        <v>0</v>
      </c>
      <c r="N2286" s="264"/>
    </row>
    <row r="2287" spans="1:14" hidden="1">
      <c r="A2287" s="281"/>
      <c r="B2287" s="282"/>
      <c r="C2287" s="281"/>
      <c r="D2287" s="281"/>
      <c r="E2287" s="255" t="s">
        <v>226</v>
      </c>
      <c r="L2287" s="264">
        <v>169257</v>
      </c>
      <c r="M2287" s="264">
        <v>159855</v>
      </c>
      <c r="N2287" s="264">
        <v>152622</v>
      </c>
    </row>
    <row r="2288" spans="1:14" hidden="1">
      <c r="A2288" s="281"/>
      <c r="B2288" s="282"/>
      <c r="C2288" s="281"/>
      <c r="D2288" s="281"/>
      <c r="E2288" s="255" t="s">
        <v>209</v>
      </c>
      <c r="L2288" s="264">
        <v>2654</v>
      </c>
      <c r="M2288" s="264">
        <v>0</v>
      </c>
      <c r="N2288" s="264"/>
    </row>
    <row r="2289" spans="1:14" hidden="1">
      <c r="A2289" s="281"/>
      <c r="B2289" s="282"/>
      <c r="C2289" s="281"/>
      <c r="D2289" s="281"/>
      <c r="E2289" s="255" t="s">
        <v>283</v>
      </c>
      <c r="L2289" s="264">
        <v>5973</v>
      </c>
      <c r="M2289" s="264">
        <v>0</v>
      </c>
      <c r="N2289" s="264"/>
    </row>
    <row r="2290" spans="1:14" hidden="1">
      <c r="A2290" s="281"/>
      <c r="B2290" s="282"/>
      <c r="C2290" s="281"/>
      <c r="D2290" s="281"/>
      <c r="E2290" s="255" t="s">
        <v>367</v>
      </c>
      <c r="L2290" s="264">
        <v>796</v>
      </c>
      <c r="M2290" s="264">
        <v>796</v>
      </c>
      <c r="N2290" s="264">
        <v>796</v>
      </c>
    </row>
    <row r="2291" spans="1:14" hidden="1">
      <c r="A2291" s="281"/>
      <c r="B2291" s="282"/>
      <c r="C2291" s="281">
        <v>61</v>
      </c>
      <c r="D2291" s="281" t="s">
        <v>276</v>
      </c>
      <c r="E2291" s="255" t="s">
        <v>84</v>
      </c>
      <c r="L2291" s="264">
        <v>102456</v>
      </c>
      <c r="M2291" s="264">
        <v>5269</v>
      </c>
      <c r="N2291" s="264">
        <v>5270</v>
      </c>
    </row>
    <row r="2292" spans="1:14" hidden="1">
      <c r="A2292" s="281"/>
      <c r="B2292" s="282"/>
      <c r="C2292" s="281"/>
      <c r="D2292" s="281"/>
      <c r="E2292" s="255" t="s">
        <v>226</v>
      </c>
      <c r="L2292" s="264">
        <v>46252</v>
      </c>
      <c r="M2292" s="264">
        <v>24079</v>
      </c>
      <c r="N2292" s="264">
        <v>21140</v>
      </c>
    </row>
    <row r="2293" spans="1:14" hidden="1">
      <c r="A2293" s="281"/>
      <c r="B2293" s="282"/>
      <c r="C2293" s="281"/>
      <c r="D2293" s="281"/>
      <c r="E2293" s="255" t="s">
        <v>192</v>
      </c>
      <c r="L2293" s="264">
        <v>1</v>
      </c>
      <c r="M2293" s="264">
        <v>1</v>
      </c>
      <c r="N2293" s="264">
        <v>1</v>
      </c>
    </row>
    <row r="2294" spans="1:14" hidden="1">
      <c r="A2294" s="281"/>
      <c r="B2294" s="282"/>
      <c r="C2294" s="281"/>
      <c r="D2294" s="281"/>
      <c r="E2294" s="255" t="s">
        <v>367</v>
      </c>
      <c r="L2294" s="264">
        <v>1327</v>
      </c>
      <c r="M2294" s="264">
        <v>1327</v>
      </c>
      <c r="N2294" s="264">
        <v>1327</v>
      </c>
    </row>
    <row r="2295" spans="1:14" hidden="1">
      <c r="A2295" s="281"/>
      <c r="B2295" s="282"/>
      <c r="C2295" s="281">
        <v>71</v>
      </c>
      <c r="D2295" s="281" t="s">
        <v>387</v>
      </c>
      <c r="E2295" s="255" t="s">
        <v>226</v>
      </c>
      <c r="L2295" s="264">
        <v>9900</v>
      </c>
      <c r="M2295" s="264">
        <v>1858</v>
      </c>
      <c r="N2295" s="264">
        <v>1858</v>
      </c>
    </row>
    <row r="2296" spans="1:14" hidden="1">
      <c r="A2296" s="281" t="s">
        <v>440</v>
      </c>
      <c r="B2296" s="282" t="s">
        <v>441</v>
      </c>
      <c r="C2296" s="281">
        <v>11</v>
      </c>
      <c r="D2296" s="281" t="s">
        <v>100</v>
      </c>
      <c r="E2296" s="255" t="s">
        <v>226</v>
      </c>
      <c r="L2296" s="264">
        <v>45441.2</v>
      </c>
      <c r="M2296" s="264">
        <v>45441.2</v>
      </c>
      <c r="N2296" s="264">
        <v>45441.2</v>
      </c>
    </row>
    <row r="2297" spans="1:14" ht="30" hidden="1">
      <c r="A2297" s="281" t="s">
        <v>372</v>
      </c>
      <c r="B2297" s="282" t="s">
        <v>373</v>
      </c>
      <c r="C2297" s="281">
        <v>12</v>
      </c>
      <c r="D2297" s="281" t="s">
        <v>102</v>
      </c>
      <c r="E2297" s="255" t="s">
        <v>322</v>
      </c>
      <c r="L2297" s="264">
        <v>2092472</v>
      </c>
      <c r="M2297" s="264">
        <v>0</v>
      </c>
      <c r="N2297" s="264">
        <v>0</v>
      </c>
    </row>
    <row r="2298" spans="1:14" hidden="1">
      <c r="A2298" s="281"/>
      <c r="B2298" s="282"/>
      <c r="C2298" s="281">
        <v>563</v>
      </c>
      <c r="D2298" s="281" t="s">
        <v>374</v>
      </c>
      <c r="E2298" s="255" t="s">
        <v>322</v>
      </c>
      <c r="L2298" s="264">
        <v>5026757</v>
      </c>
      <c r="M2298" s="264">
        <v>0</v>
      </c>
      <c r="N2298" s="264">
        <v>0</v>
      </c>
    </row>
    <row r="2299" spans="1:14" ht="30" hidden="1">
      <c r="A2299" s="281" t="s">
        <v>388</v>
      </c>
      <c r="B2299" s="282" t="s">
        <v>389</v>
      </c>
      <c r="C2299" s="281">
        <v>12</v>
      </c>
      <c r="D2299" s="281" t="s">
        <v>102</v>
      </c>
      <c r="E2299" s="255" t="s">
        <v>226</v>
      </c>
      <c r="L2299" s="264">
        <v>20823.475842589989</v>
      </c>
      <c r="M2299" s="264">
        <v>0</v>
      </c>
      <c r="N2299" s="264">
        <v>0</v>
      </c>
    </row>
    <row r="2300" spans="1:14" hidden="1">
      <c r="A2300" s="281"/>
      <c r="B2300" s="282"/>
      <c r="C2300" s="281">
        <v>561</v>
      </c>
      <c r="D2300" s="281" t="s">
        <v>390</v>
      </c>
      <c r="E2300" s="255" t="s">
        <v>226</v>
      </c>
      <c r="L2300" s="264">
        <v>117999.69644134327</v>
      </c>
      <c r="M2300" s="264">
        <v>0</v>
      </c>
      <c r="N2300" s="264">
        <v>0</v>
      </c>
    </row>
    <row r="2301" spans="1:14" ht="30" hidden="1">
      <c r="A2301" s="281" t="s">
        <v>401</v>
      </c>
      <c r="B2301" s="282" t="s">
        <v>402</v>
      </c>
      <c r="C2301" s="281">
        <v>11</v>
      </c>
      <c r="D2301" s="281" t="s">
        <v>100</v>
      </c>
      <c r="E2301" s="255" t="s">
        <v>84</v>
      </c>
      <c r="L2301" s="264">
        <v>895445.00183807837</v>
      </c>
      <c r="M2301" s="264">
        <v>899700.12775386171</v>
      </c>
      <c r="N2301" s="264">
        <v>903975.21443113789</v>
      </c>
    </row>
    <row r="2302" spans="1:14" hidden="1">
      <c r="A2302" s="281"/>
      <c r="B2302" s="282"/>
      <c r="C2302" s="281"/>
      <c r="D2302" s="281"/>
      <c r="E2302" s="255" t="s">
        <v>226</v>
      </c>
      <c r="L2302" s="264">
        <v>20721.933788198006</v>
      </c>
      <c r="M2302" s="264">
        <v>20820.403752636143</v>
      </c>
      <c r="N2302" s="264">
        <v>20919.335638886532</v>
      </c>
    </row>
    <row r="2303" spans="1:14" ht="30" hidden="1">
      <c r="A2303" s="281" t="s">
        <v>365</v>
      </c>
      <c r="B2303" s="282" t="s">
        <v>366</v>
      </c>
      <c r="C2303" s="281">
        <v>11</v>
      </c>
      <c r="D2303" s="281" t="s">
        <v>100</v>
      </c>
      <c r="E2303" s="255" t="s">
        <v>226</v>
      </c>
      <c r="L2303" s="264">
        <v>144637.22294056232</v>
      </c>
      <c r="M2303" s="264">
        <v>144637.22294056232</v>
      </c>
      <c r="N2303" s="264">
        <v>144637.22294056232</v>
      </c>
    </row>
    <row r="2304" spans="1:14" hidden="1">
      <c r="A2304" s="281"/>
      <c r="B2304" s="282"/>
      <c r="C2304" s="281"/>
      <c r="D2304" s="281"/>
      <c r="E2304" s="255" t="s">
        <v>209</v>
      </c>
      <c r="L2304" s="264">
        <v>6191.0130701862317</v>
      </c>
      <c r="M2304" s="264">
        <v>6191.0130701862317</v>
      </c>
      <c r="N2304" s="264">
        <v>6191.0130701862317</v>
      </c>
    </row>
    <row r="2305" spans="1:14" hidden="1">
      <c r="A2305" s="281"/>
      <c r="B2305" s="282"/>
      <c r="C2305" s="281"/>
      <c r="D2305" s="281"/>
      <c r="E2305" s="255" t="s">
        <v>367</v>
      </c>
      <c r="L2305" s="264">
        <v>1643.7267666009852</v>
      </c>
      <c r="M2305" s="264">
        <v>1643.7267666009852</v>
      </c>
      <c r="N2305" s="264">
        <v>1643.7267666009852</v>
      </c>
    </row>
    <row r="2306" spans="1:14" ht="45" hidden="1">
      <c r="A2306" s="281" t="s">
        <v>405</v>
      </c>
      <c r="B2306" s="282" t="s">
        <v>406</v>
      </c>
      <c r="C2306" s="281">
        <v>31</v>
      </c>
      <c r="D2306" s="281" t="s">
        <v>333</v>
      </c>
      <c r="E2306" s="255" t="s">
        <v>84</v>
      </c>
      <c r="L2306" s="264">
        <v>24616</v>
      </c>
      <c r="M2306" s="264">
        <v>24616</v>
      </c>
      <c r="N2306" s="264">
        <v>24616</v>
      </c>
    </row>
    <row r="2307" spans="1:14" hidden="1">
      <c r="A2307" s="281"/>
      <c r="B2307" s="282"/>
      <c r="C2307" s="281"/>
      <c r="D2307" s="281"/>
      <c r="E2307" s="255" t="s">
        <v>226</v>
      </c>
      <c r="L2307" s="264">
        <v>12879</v>
      </c>
      <c r="M2307" s="264">
        <v>12879</v>
      </c>
      <c r="N2307" s="264">
        <v>12879</v>
      </c>
    </row>
    <row r="2308" spans="1:14" hidden="1">
      <c r="A2308" s="281"/>
      <c r="B2308" s="282"/>
      <c r="C2308" s="281"/>
      <c r="D2308" s="281"/>
      <c r="E2308" s="255" t="s">
        <v>192</v>
      </c>
      <c r="L2308" s="264">
        <v>398</v>
      </c>
      <c r="M2308" s="264">
        <v>398</v>
      </c>
      <c r="N2308" s="264">
        <v>398</v>
      </c>
    </row>
    <row r="2309" spans="1:14" hidden="1">
      <c r="A2309" s="281"/>
      <c r="B2309" s="282"/>
      <c r="C2309" s="281"/>
      <c r="D2309" s="281"/>
      <c r="E2309" s="255" t="s">
        <v>367</v>
      </c>
      <c r="L2309" s="264">
        <v>5375</v>
      </c>
      <c r="M2309" s="264">
        <v>5375</v>
      </c>
      <c r="N2309" s="264">
        <v>5375</v>
      </c>
    </row>
    <row r="2310" spans="1:14" hidden="1">
      <c r="A2310" s="281"/>
      <c r="B2310" s="282"/>
      <c r="C2310" s="281">
        <v>43</v>
      </c>
      <c r="D2310" s="281" t="s">
        <v>104</v>
      </c>
      <c r="E2310" s="255" t="s">
        <v>84</v>
      </c>
      <c r="L2310" s="264">
        <v>17953</v>
      </c>
      <c r="M2310" s="264">
        <v>17953</v>
      </c>
      <c r="N2310" s="264">
        <v>17953</v>
      </c>
    </row>
    <row r="2311" spans="1:14" hidden="1">
      <c r="A2311" s="281"/>
      <c r="B2311" s="282"/>
      <c r="C2311" s="281"/>
      <c r="D2311" s="281"/>
      <c r="E2311" s="255" t="s">
        <v>226</v>
      </c>
      <c r="L2311" s="264">
        <v>85901</v>
      </c>
      <c r="M2311" s="264">
        <v>85901</v>
      </c>
      <c r="N2311" s="264">
        <v>85901</v>
      </c>
    </row>
    <row r="2312" spans="1:14" hidden="1">
      <c r="A2312" s="281"/>
      <c r="B2312" s="282"/>
      <c r="C2312" s="281"/>
      <c r="D2312" s="281"/>
      <c r="E2312" s="255" t="s">
        <v>192</v>
      </c>
      <c r="L2312" s="264">
        <v>531</v>
      </c>
      <c r="M2312" s="264">
        <v>531</v>
      </c>
      <c r="N2312" s="264">
        <v>531</v>
      </c>
    </row>
    <row r="2313" spans="1:14" hidden="1">
      <c r="A2313" s="281"/>
      <c r="B2313" s="282"/>
      <c r="C2313" s="281"/>
      <c r="D2313" s="281"/>
      <c r="E2313" s="255" t="s">
        <v>367</v>
      </c>
      <c r="L2313" s="264">
        <v>1793</v>
      </c>
      <c r="M2313" s="264">
        <v>1793</v>
      </c>
      <c r="N2313" s="264">
        <v>1793</v>
      </c>
    </row>
    <row r="2314" spans="1:14" hidden="1">
      <c r="A2314" s="281"/>
      <c r="B2314" s="282"/>
      <c r="C2314" s="281">
        <v>52</v>
      </c>
      <c r="D2314" s="281" t="s">
        <v>69</v>
      </c>
      <c r="E2314" s="255" t="s">
        <v>84</v>
      </c>
      <c r="L2314" s="264">
        <v>21592</v>
      </c>
      <c r="M2314" s="264">
        <v>21592</v>
      </c>
      <c r="N2314" s="264">
        <v>21592</v>
      </c>
    </row>
    <row r="2315" spans="1:14" hidden="1">
      <c r="A2315" s="281"/>
      <c r="B2315" s="282"/>
      <c r="C2315" s="281"/>
      <c r="D2315" s="281"/>
      <c r="E2315" s="255" t="s">
        <v>226</v>
      </c>
      <c r="L2315" s="264">
        <v>42747</v>
      </c>
      <c r="M2315" s="264">
        <v>43575</v>
      </c>
      <c r="N2315" s="264">
        <v>36940</v>
      </c>
    </row>
    <row r="2316" spans="1:14" hidden="1">
      <c r="A2316" s="281"/>
      <c r="B2316" s="282"/>
      <c r="C2316" s="281"/>
      <c r="D2316" s="281"/>
      <c r="E2316" s="255" t="s">
        <v>192</v>
      </c>
      <c r="L2316" s="264">
        <v>398</v>
      </c>
      <c r="M2316" s="264">
        <v>398</v>
      </c>
      <c r="N2316" s="264">
        <v>398</v>
      </c>
    </row>
    <row r="2317" spans="1:14" hidden="1">
      <c r="A2317" s="281"/>
      <c r="B2317" s="282"/>
      <c r="C2317" s="281"/>
      <c r="D2317" s="281"/>
      <c r="E2317" s="255" t="s">
        <v>367</v>
      </c>
      <c r="L2317" s="264">
        <v>1128</v>
      </c>
      <c r="M2317" s="264">
        <v>1128</v>
      </c>
      <c r="N2317" s="264">
        <v>1128</v>
      </c>
    </row>
    <row r="2318" spans="1:14" ht="30" hidden="1">
      <c r="A2318" s="281" t="s">
        <v>401</v>
      </c>
      <c r="B2318" s="282" t="s">
        <v>402</v>
      </c>
      <c r="C2318" s="281">
        <v>11</v>
      </c>
      <c r="D2318" s="281" t="s">
        <v>100</v>
      </c>
      <c r="E2318" s="255" t="s">
        <v>84</v>
      </c>
      <c r="L2318" s="264">
        <v>943681.82854214334</v>
      </c>
      <c r="M2318" s="264">
        <v>948166.17431060574</v>
      </c>
      <c r="N2318" s="264">
        <v>952671.55610904889</v>
      </c>
    </row>
    <row r="2319" spans="1:14" hidden="1">
      <c r="A2319" s="281"/>
      <c r="B2319" s="282"/>
      <c r="C2319" s="281"/>
      <c r="D2319" s="281"/>
      <c r="E2319" s="255" t="s">
        <v>226</v>
      </c>
      <c r="L2319" s="264">
        <v>17981.635358592019</v>
      </c>
      <c r="M2319" s="264">
        <v>18067.083512823101</v>
      </c>
      <c r="N2319" s="264">
        <v>18152.93250365934</v>
      </c>
    </row>
    <row r="2320" spans="1:14" ht="30" hidden="1">
      <c r="A2320" s="281" t="s">
        <v>365</v>
      </c>
      <c r="B2320" s="282" t="s">
        <v>366</v>
      </c>
      <c r="C2320" s="281">
        <v>11</v>
      </c>
      <c r="D2320" s="281" t="s">
        <v>100</v>
      </c>
      <c r="E2320" s="255" t="s">
        <v>84</v>
      </c>
      <c r="L2320" s="264">
        <v>71418.655047702166</v>
      </c>
      <c r="M2320" s="264">
        <v>71418.655047702166</v>
      </c>
      <c r="N2320" s="264">
        <v>71418.655047702166</v>
      </c>
    </row>
    <row r="2321" spans="1:14" hidden="1">
      <c r="A2321" s="281"/>
      <c r="B2321" s="282"/>
      <c r="C2321" s="281"/>
      <c r="D2321" s="281"/>
      <c r="E2321" s="255" t="s">
        <v>226</v>
      </c>
      <c r="L2321" s="264">
        <v>60971.773759868047</v>
      </c>
      <c r="M2321" s="264">
        <v>60971.773759868047</v>
      </c>
      <c r="N2321" s="264">
        <v>60971.773759868047</v>
      </c>
    </row>
    <row r="2322" spans="1:14" hidden="1">
      <c r="A2322" s="281"/>
      <c r="B2322" s="282"/>
      <c r="C2322" s="281"/>
      <c r="D2322" s="281"/>
      <c r="E2322" s="255" t="s">
        <v>209</v>
      </c>
      <c r="L2322" s="264">
        <v>8781.4751869332285</v>
      </c>
      <c r="M2322" s="264">
        <v>8781.4751869332285</v>
      </c>
      <c r="N2322" s="264">
        <v>8781.4751869332285</v>
      </c>
    </row>
    <row r="2323" spans="1:14" ht="45" hidden="1">
      <c r="A2323" s="281" t="s">
        <v>405</v>
      </c>
      <c r="B2323" s="282" t="s">
        <v>406</v>
      </c>
      <c r="C2323" s="281">
        <v>31</v>
      </c>
      <c r="D2323" s="281" t="s">
        <v>333</v>
      </c>
      <c r="E2323" s="255" t="s">
        <v>84</v>
      </c>
      <c r="L2323" s="264">
        <v>8802</v>
      </c>
      <c r="M2323" s="264">
        <v>8802</v>
      </c>
      <c r="N2323" s="264">
        <v>8802</v>
      </c>
    </row>
    <row r="2324" spans="1:14" hidden="1">
      <c r="A2324" s="281"/>
      <c r="B2324" s="282"/>
      <c r="C2324" s="281"/>
      <c r="D2324" s="281"/>
      <c r="E2324" s="255" t="s">
        <v>226</v>
      </c>
      <c r="L2324" s="264">
        <v>9987</v>
      </c>
      <c r="M2324" s="264">
        <v>9987</v>
      </c>
      <c r="N2324" s="264">
        <v>9987</v>
      </c>
    </row>
    <row r="2325" spans="1:14" hidden="1">
      <c r="A2325" s="281"/>
      <c r="B2325" s="282"/>
      <c r="C2325" s="281"/>
      <c r="D2325" s="281"/>
      <c r="E2325" s="255" t="s">
        <v>192</v>
      </c>
      <c r="L2325" s="264">
        <v>965</v>
      </c>
      <c r="M2325" s="264">
        <v>965</v>
      </c>
      <c r="N2325" s="264">
        <v>965</v>
      </c>
    </row>
    <row r="2326" spans="1:14" hidden="1">
      <c r="A2326" s="281"/>
      <c r="B2326" s="282"/>
      <c r="C2326" s="281"/>
      <c r="D2326" s="281"/>
      <c r="E2326" s="255" t="s">
        <v>215</v>
      </c>
      <c r="L2326" s="264">
        <v>106</v>
      </c>
      <c r="M2326" s="264">
        <v>106</v>
      </c>
      <c r="N2326" s="264">
        <v>106</v>
      </c>
    </row>
    <row r="2327" spans="1:14" hidden="1">
      <c r="A2327" s="281"/>
      <c r="B2327" s="282"/>
      <c r="C2327" s="281">
        <v>43</v>
      </c>
      <c r="D2327" s="281" t="s">
        <v>104</v>
      </c>
      <c r="E2327" s="255" t="s">
        <v>84</v>
      </c>
      <c r="L2327" s="264">
        <v>168962</v>
      </c>
      <c r="M2327" s="264">
        <v>168962</v>
      </c>
      <c r="N2327" s="264">
        <v>168962</v>
      </c>
    </row>
    <row r="2328" spans="1:14" hidden="1">
      <c r="A2328" s="281"/>
      <c r="B2328" s="282"/>
      <c r="C2328" s="281"/>
      <c r="D2328" s="281"/>
      <c r="E2328" s="255" t="s">
        <v>226</v>
      </c>
      <c r="L2328" s="264">
        <v>227941</v>
      </c>
      <c r="M2328" s="264">
        <v>227941</v>
      </c>
      <c r="N2328" s="264">
        <v>227941</v>
      </c>
    </row>
    <row r="2329" spans="1:14" hidden="1">
      <c r="A2329" s="281"/>
      <c r="B2329" s="282"/>
      <c r="C2329" s="281"/>
      <c r="D2329" s="281"/>
      <c r="E2329" s="255" t="s">
        <v>192</v>
      </c>
      <c r="L2329" s="264">
        <v>2420</v>
      </c>
      <c r="M2329" s="264">
        <v>2420</v>
      </c>
      <c r="N2329" s="264">
        <v>2420</v>
      </c>
    </row>
    <row r="2330" spans="1:14" hidden="1">
      <c r="A2330" s="281"/>
      <c r="B2330" s="282"/>
      <c r="C2330" s="281"/>
      <c r="D2330" s="281"/>
      <c r="E2330" s="255" t="s">
        <v>367</v>
      </c>
      <c r="L2330" s="264">
        <v>41279</v>
      </c>
      <c r="M2330" s="264">
        <v>41279</v>
      </c>
      <c r="N2330" s="264">
        <v>41279</v>
      </c>
    </row>
    <row r="2331" spans="1:14" hidden="1">
      <c r="A2331" s="281"/>
      <c r="B2331" s="282"/>
      <c r="C2331" s="281">
        <v>52</v>
      </c>
      <c r="D2331" s="281" t="s">
        <v>69</v>
      </c>
      <c r="E2331" s="255" t="s">
        <v>226</v>
      </c>
      <c r="L2331" s="264">
        <v>82341</v>
      </c>
      <c r="M2331" s="264">
        <v>82341</v>
      </c>
      <c r="N2331" s="264">
        <v>82341</v>
      </c>
    </row>
    <row r="2332" spans="1:14" hidden="1">
      <c r="A2332" s="281"/>
      <c r="B2332" s="282"/>
      <c r="C2332" s="281"/>
      <c r="D2332" s="281"/>
      <c r="E2332" s="255" t="s">
        <v>367</v>
      </c>
      <c r="L2332" s="264">
        <v>8274</v>
      </c>
      <c r="M2332" s="264">
        <v>8274</v>
      </c>
      <c r="N2332" s="264">
        <v>8274</v>
      </c>
    </row>
    <row r="2333" spans="1:14" hidden="1">
      <c r="A2333" s="281"/>
      <c r="B2333" s="282"/>
      <c r="C2333" s="281">
        <v>61</v>
      </c>
      <c r="D2333" s="281" t="s">
        <v>276</v>
      </c>
      <c r="E2333" s="255" t="s">
        <v>367</v>
      </c>
      <c r="L2333" s="264">
        <v>3982</v>
      </c>
      <c r="M2333" s="264">
        <v>3982</v>
      </c>
      <c r="N2333" s="264">
        <v>3982</v>
      </c>
    </row>
    <row r="2334" spans="1:14" ht="30" hidden="1">
      <c r="A2334" s="281" t="s">
        <v>413</v>
      </c>
      <c r="B2334" s="282" t="s">
        <v>414</v>
      </c>
      <c r="C2334" s="281">
        <v>11</v>
      </c>
      <c r="D2334" s="281" t="s">
        <v>100</v>
      </c>
      <c r="E2334" s="255" t="s">
        <v>84</v>
      </c>
      <c r="L2334" s="264">
        <v>1937958.3994693584</v>
      </c>
      <c r="M2334" s="264">
        <v>1947226.5908178303</v>
      </c>
      <c r="N2334" s="264">
        <v>1956538.2315232942</v>
      </c>
    </row>
    <row r="2335" spans="1:14" hidden="1">
      <c r="A2335" s="281"/>
      <c r="B2335" s="282"/>
      <c r="C2335" s="281"/>
      <c r="D2335" s="281"/>
      <c r="E2335" s="255" t="s">
        <v>226</v>
      </c>
      <c r="L2335" s="264">
        <v>38969.303179847891</v>
      </c>
      <c r="M2335" s="264">
        <v>39155.671968097595</v>
      </c>
      <c r="N2335" s="264">
        <v>39342.91445475386</v>
      </c>
    </row>
    <row r="2336" spans="1:14" ht="30" hidden="1">
      <c r="A2336" s="281" t="s">
        <v>381</v>
      </c>
      <c r="B2336" s="282" t="s">
        <v>382</v>
      </c>
      <c r="C2336" s="281">
        <v>11</v>
      </c>
      <c r="D2336" s="281" t="s">
        <v>100</v>
      </c>
      <c r="E2336" s="255" t="s">
        <v>226</v>
      </c>
      <c r="L2336" s="264">
        <v>2628.7358649061971</v>
      </c>
      <c r="M2336" s="264">
        <v>2628.7358649061971</v>
      </c>
      <c r="N2336" s="264">
        <v>2628.7358649061971</v>
      </c>
    </row>
    <row r="2337" spans="1:14" hidden="1">
      <c r="A2337" s="281" t="s">
        <v>383</v>
      </c>
      <c r="B2337" s="282" t="s">
        <v>384</v>
      </c>
      <c r="C2337" s="281">
        <v>11</v>
      </c>
      <c r="D2337" s="281" t="s">
        <v>100</v>
      </c>
      <c r="E2337" s="255" t="s">
        <v>84</v>
      </c>
      <c r="L2337" s="264">
        <v>25287.264214400002</v>
      </c>
      <c r="M2337" s="264">
        <v>25287.264214400002</v>
      </c>
      <c r="N2337" s="264">
        <v>25287.264214400002</v>
      </c>
    </row>
    <row r="2338" spans="1:14" hidden="1">
      <c r="A2338" s="281"/>
      <c r="B2338" s="282"/>
      <c r="C2338" s="281"/>
      <c r="D2338" s="281"/>
      <c r="E2338" s="255" t="s">
        <v>226</v>
      </c>
      <c r="L2338" s="264">
        <v>8199.1132092000007</v>
      </c>
      <c r="M2338" s="264">
        <v>8199.1132092000007</v>
      </c>
      <c r="N2338" s="264">
        <v>8199.1132092000007</v>
      </c>
    </row>
    <row r="2339" spans="1:14" hidden="1">
      <c r="A2339" s="281"/>
      <c r="B2339" s="282"/>
      <c r="C2339" s="281"/>
      <c r="D2339" s="281"/>
      <c r="E2339" s="255" t="s">
        <v>192</v>
      </c>
      <c r="L2339" s="264">
        <v>17261.119845999998</v>
      </c>
      <c r="M2339" s="264">
        <v>17261.119845999998</v>
      </c>
      <c r="N2339" s="264">
        <v>17261.119845999998</v>
      </c>
    </row>
    <row r="2340" spans="1:14" ht="30" hidden="1">
      <c r="A2340" s="281" t="s">
        <v>365</v>
      </c>
      <c r="B2340" s="282" t="s">
        <v>366</v>
      </c>
      <c r="C2340" s="281">
        <v>11</v>
      </c>
      <c r="D2340" s="281" t="s">
        <v>100</v>
      </c>
      <c r="E2340" s="255" t="s">
        <v>226</v>
      </c>
      <c r="L2340" s="264">
        <v>150020.52460303396</v>
      </c>
      <c r="M2340" s="264">
        <v>150020.52460303396</v>
      </c>
      <c r="N2340" s="264">
        <v>150020.52460303396</v>
      </c>
    </row>
    <row r="2341" spans="1:14" hidden="1">
      <c r="A2341" s="281"/>
      <c r="B2341" s="282"/>
      <c r="C2341" s="281"/>
      <c r="D2341" s="281"/>
      <c r="E2341" s="255" t="s">
        <v>192</v>
      </c>
      <c r="L2341" s="264">
        <v>766.13954176383618</v>
      </c>
      <c r="M2341" s="264">
        <v>766.13954176383618</v>
      </c>
      <c r="N2341" s="264">
        <v>766.13954176383618</v>
      </c>
    </row>
    <row r="2342" spans="1:14" hidden="1">
      <c r="A2342" s="281"/>
      <c r="B2342" s="282"/>
      <c r="C2342" s="281"/>
      <c r="D2342" s="281"/>
      <c r="E2342" s="255" t="s">
        <v>367</v>
      </c>
      <c r="L2342" s="264">
        <v>38185.616621985697</v>
      </c>
      <c r="M2342" s="264">
        <v>38185.616621985697</v>
      </c>
      <c r="N2342" s="264">
        <v>38185.616621985697</v>
      </c>
    </row>
    <row r="2343" spans="1:14" ht="30" hidden="1">
      <c r="A2343" s="281" t="s">
        <v>415</v>
      </c>
      <c r="B2343" s="282" t="s">
        <v>416</v>
      </c>
      <c r="C2343" s="281">
        <v>52</v>
      </c>
      <c r="D2343" s="281" t="s">
        <v>69</v>
      </c>
      <c r="E2343" s="255" t="s">
        <v>226</v>
      </c>
      <c r="L2343" s="264">
        <v>18183</v>
      </c>
      <c r="M2343" s="264">
        <v>11332</v>
      </c>
      <c r="N2343" s="264">
        <v>3855</v>
      </c>
    </row>
    <row r="2344" spans="1:14" ht="30" hidden="1">
      <c r="A2344" s="281" t="s">
        <v>417</v>
      </c>
      <c r="B2344" s="282" t="s">
        <v>418</v>
      </c>
      <c r="C2344" s="281">
        <v>31</v>
      </c>
      <c r="D2344" s="281" t="s">
        <v>333</v>
      </c>
      <c r="E2344" s="255" t="s">
        <v>84</v>
      </c>
      <c r="L2344" s="264">
        <v>3092</v>
      </c>
      <c r="M2344" s="264">
        <v>3092</v>
      </c>
      <c r="N2344" s="264">
        <v>3092</v>
      </c>
    </row>
    <row r="2345" spans="1:14" hidden="1">
      <c r="A2345" s="281"/>
      <c r="B2345" s="282"/>
      <c r="C2345" s="281"/>
      <c r="D2345" s="281"/>
      <c r="E2345" s="255" t="s">
        <v>226</v>
      </c>
      <c r="L2345" s="264">
        <v>17125</v>
      </c>
      <c r="M2345" s="264">
        <v>16551</v>
      </c>
      <c r="N2345" s="264">
        <v>16551</v>
      </c>
    </row>
    <row r="2346" spans="1:14" hidden="1">
      <c r="A2346" s="281"/>
      <c r="B2346" s="282"/>
      <c r="C2346" s="281"/>
      <c r="D2346" s="281"/>
      <c r="E2346" s="255" t="s">
        <v>192</v>
      </c>
      <c r="L2346" s="264">
        <v>265</v>
      </c>
      <c r="M2346" s="264">
        <v>265</v>
      </c>
      <c r="N2346" s="264">
        <v>265</v>
      </c>
    </row>
    <row r="2347" spans="1:14" hidden="1">
      <c r="A2347" s="281"/>
      <c r="B2347" s="282"/>
      <c r="C2347" s="281"/>
      <c r="D2347" s="281"/>
      <c r="E2347" s="255" t="s">
        <v>367</v>
      </c>
      <c r="L2347" s="264">
        <v>13272</v>
      </c>
      <c r="M2347" s="264">
        <v>13272</v>
      </c>
      <c r="N2347" s="264">
        <v>13272</v>
      </c>
    </row>
    <row r="2348" spans="1:14" hidden="1">
      <c r="A2348" s="281"/>
      <c r="B2348" s="282"/>
      <c r="C2348" s="281">
        <v>43</v>
      </c>
      <c r="D2348" s="281" t="s">
        <v>104</v>
      </c>
      <c r="E2348" s="255" t="s">
        <v>84</v>
      </c>
      <c r="L2348" s="264">
        <v>161258</v>
      </c>
      <c r="M2348" s="264">
        <v>204552</v>
      </c>
      <c r="N2348" s="264">
        <v>204552</v>
      </c>
    </row>
    <row r="2349" spans="1:14" hidden="1">
      <c r="A2349" s="281"/>
      <c r="B2349" s="282"/>
      <c r="C2349" s="281"/>
      <c r="D2349" s="281"/>
      <c r="E2349" s="255" t="s">
        <v>226</v>
      </c>
      <c r="L2349" s="264">
        <v>210725</v>
      </c>
      <c r="M2349" s="264">
        <v>225325</v>
      </c>
      <c r="N2349" s="264">
        <v>225325</v>
      </c>
    </row>
    <row r="2350" spans="1:14" hidden="1">
      <c r="A2350" s="281"/>
      <c r="B2350" s="282"/>
      <c r="C2350" s="281"/>
      <c r="D2350" s="281"/>
      <c r="E2350" s="255" t="s">
        <v>192</v>
      </c>
      <c r="L2350" s="264">
        <v>1327</v>
      </c>
      <c r="M2350" s="264">
        <v>1327</v>
      </c>
      <c r="N2350" s="264">
        <v>1327</v>
      </c>
    </row>
    <row r="2351" spans="1:14" hidden="1">
      <c r="A2351" s="281"/>
      <c r="B2351" s="282"/>
      <c r="C2351" s="281"/>
      <c r="D2351" s="281"/>
      <c r="E2351" s="255" t="s">
        <v>215</v>
      </c>
      <c r="L2351" s="264">
        <v>2654</v>
      </c>
      <c r="M2351" s="264">
        <v>2654</v>
      </c>
      <c r="N2351" s="264">
        <v>2654</v>
      </c>
    </row>
    <row r="2352" spans="1:14" hidden="1">
      <c r="A2352" s="281"/>
      <c r="B2352" s="282"/>
      <c r="C2352" s="281"/>
      <c r="D2352" s="281"/>
      <c r="E2352" s="255" t="s">
        <v>367</v>
      </c>
      <c r="L2352" s="264">
        <v>92109</v>
      </c>
      <c r="M2352" s="264">
        <v>88791</v>
      </c>
      <c r="N2352" s="264">
        <v>88790</v>
      </c>
    </row>
    <row r="2353" spans="1:14" hidden="1">
      <c r="A2353" s="281"/>
      <c r="B2353" s="282"/>
      <c r="C2353" s="281"/>
      <c r="D2353" s="281"/>
      <c r="E2353" s="255" t="s">
        <v>322</v>
      </c>
      <c r="L2353" s="264">
        <v>150000</v>
      </c>
      <c r="M2353" s="264">
        <v>26545</v>
      </c>
      <c r="N2353" s="264">
        <v>26545</v>
      </c>
    </row>
    <row r="2354" spans="1:14" hidden="1">
      <c r="A2354" s="281"/>
      <c r="B2354" s="282"/>
      <c r="C2354" s="281">
        <v>52</v>
      </c>
      <c r="D2354" s="281" t="s">
        <v>69</v>
      </c>
      <c r="E2354" s="255" t="s">
        <v>84</v>
      </c>
      <c r="L2354" s="264">
        <v>65732</v>
      </c>
      <c r="M2354" s="264">
        <v>64842</v>
      </c>
      <c r="N2354" s="264">
        <v>41107</v>
      </c>
    </row>
    <row r="2355" spans="1:14" hidden="1">
      <c r="A2355" s="281"/>
      <c r="B2355" s="282"/>
      <c r="C2355" s="281"/>
      <c r="D2355" s="281"/>
      <c r="E2355" s="255" t="s">
        <v>226</v>
      </c>
      <c r="L2355" s="264">
        <v>10989</v>
      </c>
      <c r="M2355" s="264">
        <v>2289</v>
      </c>
      <c r="N2355" s="264">
        <v>2289</v>
      </c>
    </row>
    <row r="2356" spans="1:14" hidden="1">
      <c r="A2356" s="281"/>
      <c r="B2356" s="282"/>
      <c r="C2356" s="281">
        <v>61</v>
      </c>
      <c r="D2356" s="281" t="s">
        <v>276</v>
      </c>
      <c r="E2356" s="255" t="s">
        <v>226</v>
      </c>
      <c r="L2356" s="264">
        <v>10218</v>
      </c>
      <c r="M2356" s="264">
        <v>10218</v>
      </c>
      <c r="N2356" s="264">
        <v>10218</v>
      </c>
    </row>
    <row r="2357" spans="1:14" hidden="1">
      <c r="A2357" s="281"/>
      <c r="B2357" s="282"/>
      <c r="C2357" s="281"/>
      <c r="D2357" s="281"/>
      <c r="E2357" s="255" t="s">
        <v>367</v>
      </c>
      <c r="L2357" s="264">
        <v>1726</v>
      </c>
      <c r="M2357" s="264">
        <v>1726</v>
      </c>
      <c r="N2357" s="264">
        <v>1726</v>
      </c>
    </row>
    <row r="2358" spans="1:14" ht="30" hidden="1">
      <c r="A2358" s="281" t="s">
        <v>407</v>
      </c>
      <c r="B2358" s="282" t="s">
        <v>408</v>
      </c>
      <c r="C2358" s="281">
        <v>11</v>
      </c>
      <c r="D2358" s="281" t="s">
        <v>100</v>
      </c>
      <c r="E2358" s="255" t="s">
        <v>84</v>
      </c>
      <c r="L2358" s="264">
        <v>1646042.0474346164</v>
      </c>
      <c r="M2358" s="264">
        <v>1653886.8464459179</v>
      </c>
      <c r="N2358" s="264">
        <v>1661768.4093910425</v>
      </c>
    </row>
    <row r="2359" spans="1:14" hidden="1">
      <c r="A2359" s="281"/>
      <c r="B2359" s="282"/>
      <c r="C2359" s="281"/>
      <c r="D2359" s="281"/>
      <c r="E2359" s="255" t="s">
        <v>226</v>
      </c>
      <c r="L2359" s="264">
        <v>29802.052811663441</v>
      </c>
      <c r="M2359" s="264">
        <v>29944.085097409763</v>
      </c>
      <c r="N2359" s="264">
        <v>30086.783004486395</v>
      </c>
    </row>
    <row r="2360" spans="1:14" hidden="1">
      <c r="A2360" s="281" t="s">
        <v>383</v>
      </c>
      <c r="B2360" s="282" t="s">
        <v>384</v>
      </c>
      <c r="C2360" s="281">
        <v>11</v>
      </c>
      <c r="D2360" s="281" t="s">
        <v>100</v>
      </c>
      <c r="E2360" s="255" t="s">
        <v>84</v>
      </c>
      <c r="L2360" s="264">
        <v>2698.57402</v>
      </c>
      <c r="M2360" s="264">
        <v>2698.57402</v>
      </c>
      <c r="N2360" s="264">
        <v>2698.57402</v>
      </c>
    </row>
    <row r="2361" spans="1:14" hidden="1">
      <c r="A2361" s="281"/>
      <c r="B2361" s="282"/>
      <c r="C2361" s="281"/>
      <c r="D2361" s="281"/>
      <c r="E2361" s="255" t="s">
        <v>226</v>
      </c>
      <c r="L2361" s="264">
        <v>175.56987600000002</v>
      </c>
      <c r="M2361" s="264">
        <v>175.56987600000002</v>
      </c>
      <c r="N2361" s="264">
        <v>175.56987600000002</v>
      </c>
    </row>
    <row r="2362" spans="1:14" hidden="1">
      <c r="A2362" s="281"/>
      <c r="B2362" s="282"/>
      <c r="C2362" s="281"/>
      <c r="D2362" s="281"/>
      <c r="E2362" s="255" t="s">
        <v>192</v>
      </c>
      <c r="L2362" s="264">
        <v>170.3678056</v>
      </c>
      <c r="M2362" s="264">
        <v>170.3678056</v>
      </c>
      <c r="N2362" s="264">
        <v>170.3678056</v>
      </c>
    </row>
    <row r="2363" spans="1:14" ht="30" hidden="1">
      <c r="A2363" s="281" t="s">
        <v>365</v>
      </c>
      <c r="B2363" s="282" t="s">
        <v>366</v>
      </c>
      <c r="C2363" s="281">
        <v>11</v>
      </c>
      <c r="D2363" s="281" t="s">
        <v>100</v>
      </c>
      <c r="E2363" s="255" t="s">
        <v>226</v>
      </c>
      <c r="L2363" s="264">
        <v>164066.96658963943</v>
      </c>
      <c r="M2363" s="264">
        <v>164066.96658963943</v>
      </c>
      <c r="N2363" s="264">
        <v>164066.96658963943</v>
      </c>
    </row>
    <row r="2364" spans="1:14" hidden="1">
      <c r="A2364" s="281"/>
      <c r="B2364" s="282"/>
      <c r="C2364" s="281"/>
      <c r="D2364" s="281"/>
      <c r="E2364" s="255" t="s">
        <v>192</v>
      </c>
      <c r="L2364" s="264">
        <v>553.13953985104558</v>
      </c>
      <c r="M2364" s="264">
        <v>553.13953985104558</v>
      </c>
      <c r="N2364" s="264">
        <v>553.13953985104558</v>
      </c>
    </row>
    <row r="2365" spans="1:14" hidden="1">
      <c r="A2365" s="281"/>
      <c r="B2365" s="282"/>
      <c r="C2365" s="281"/>
      <c r="D2365" s="281"/>
      <c r="E2365" s="255" t="s">
        <v>209</v>
      </c>
      <c r="L2365" s="264">
        <v>908.13954303903017</v>
      </c>
      <c r="M2365" s="264">
        <v>908.13954303903017</v>
      </c>
      <c r="N2365" s="264">
        <v>908.13954303903017</v>
      </c>
    </row>
    <row r="2366" spans="1:14" hidden="1">
      <c r="A2366" s="281"/>
      <c r="B2366" s="282"/>
      <c r="C2366" s="281"/>
      <c r="D2366" s="281"/>
      <c r="E2366" s="255" t="s">
        <v>283</v>
      </c>
      <c r="L2366" s="264">
        <v>1651.1628055255094</v>
      </c>
      <c r="M2366" s="264">
        <v>1651.1628055255094</v>
      </c>
      <c r="N2366" s="264">
        <v>1651.1628055255094</v>
      </c>
    </row>
    <row r="2367" spans="1:14" hidden="1">
      <c r="A2367" s="281"/>
      <c r="B2367" s="282"/>
      <c r="C2367" s="281"/>
      <c r="D2367" s="281"/>
      <c r="E2367" s="255" t="s">
        <v>367</v>
      </c>
      <c r="L2367" s="264">
        <v>6848.1977359170496</v>
      </c>
      <c r="M2367" s="264">
        <v>6848.1977359170496</v>
      </c>
      <c r="N2367" s="264">
        <v>6848.1977359170496</v>
      </c>
    </row>
    <row r="2368" spans="1:14" ht="30" hidden="1">
      <c r="A2368" s="281" t="s">
        <v>409</v>
      </c>
      <c r="B2368" s="282" t="s">
        <v>410</v>
      </c>
      <c r="C2368" s="281">
        <v>51</v>
      </c>
      <c r="D2368" s="281" t="s">
        <v>109</v>
      </c>
      <c r="E2368" s="255" t="s">
        <v>84</v>
      </c>
      <c r="L2368" s="264">
        <v>6396</v>
      </c>
      <c r="M2368" s="264">
        <v>5300</v>
      </c>
      <c r="N2368" s="264">
        <v>0</v>
      </c>
    </row>
    <row r="2369" spans="1:14" hidden="1">
      <c r="A2369" s="281"/>
      <c r="B2369" s="282"/>
      <c r="C2369" s="281"/>
      <c r="D2369" s="281"/>
      <c r="E2369" s="255" t="s">
        <v>226</v>
      </c>
      <c r="L2369" s="264">
        <v>9165</v>
      </c>
      <c r="M2369" s="264">
        <v>8524</v>
      </c>
      <c r="N2369" s="264">
        <v>0</v>
      </c>
    </row>
    <row r="2370" spans="1:14" hidden="1">
      <c r="A2370" s="281"/>
      <c r="B2370" s="282"/>
      <c r="C2370" s="281"/>
      <c r="D2370" s="281"/>
      <c r="E2370" s="255" t="s">
        <v>192</v>
      </c>
      <c r="L2370" s="264">
        <v>100</v>
      </c>
      <c r="M2370" s="264">
        <v>50</v>
      </c>
      <c r="N2370" s="264">
        <v>0</v>
      </c>
    </row>
    <row r="2371" spans="1:14" ht="30" hidden="1">
      <c r="A2371" s="281" t="s">
        <v>411</v>
      </c>
      <c r="B2371" s="282" t="s">
        <v>412</v>
      </c>
      <c r="C2371" s="281">
        <v>31</v>
      </c>
      <c r="D2371" s="281" t="s">
        <v>333</v>
      </c>
      <c r="E2371" s="255" t="s">
        <v>84</v>
      </c>
      <c r="L2371" s="264">
        <v>7960</v>
      </c>
      <c r="M2371" s="264">
        <v>8573</v>
      </c>
      <c r="N2371" s="264">
        <v>8580</v>
      </c>
    </row>
    <row r="2372" spans="1:14" hidden="1">
      <c r="A2372" s="281"/>
      <c r="B2372" s="282"/>
      <c r="C2372" s="281"/>
      <c r="D2372" s="281"/>
      <c r="E2372" s="255" t="s">
        <v>226</v>
      </c>
      <c r="L2372" s="264">
        <v>8115</v>
      </c>
      <c r="M2372" s="264">
        <v>7637</v>
      </c>
      <c r="N2372" s="264">
        <v>7796</v>
      </c>
    </row>
    <row r="2373" spans="1:14" hidden="1">
      <c r="A2373" s="281"/>
      <c r="B2373" s="282"/>
      <c r="C2373" s="281"/>
      <c r="D2373" s="281"/>
      <c r="E2373" s="255" t="s">
        <v>192</v>
      </c>
      <c r="L2373" s="264">
        <v>50</v>
      </c>
      <c r="M2373" s="264">
        <v>50</v>
      </c>
      <c r="N2373" s="264">
        <v>50</v>
      </c>
    </row>
    <row r="2374" spans="1:14" hidden="1">
      <c r="A2374" s="281"/>
      <c r="B2374" s="282"/>
      <c r="C2374" s="281"/>
      <c r="D2374" s="281"/>
      <c r="E2374" s="255" t="s">
        <v>204</v>
      </c>
      <c r="L2374" s="264">
        <v>550</v>
      </c>
      <c r="M2374" s="264">
        <v>560</v>
      </c>
      <c r="N2374" s="264">
        <v>560</v>
      </c>
    </row>
    <row r="2375" spans="1:14" hidden="1">
      <c r="A2375" s="281"/>
      <c r="B2375" s="282"/>
      <c r="C2375" s="281"/>
      <c r="D2375" s="281"/>
      <c r="E2375" s="255" t="s">
        <v>283</v>
      </c>
      <c r="L2375" s="264">
        <v>250</v>
      </c>
      <c r="M2375" s="264">
        <v>300</v>
      </c>
      <c r="N2375" s="264">
        <v>300</v>
      </c>
    </row>
    <row r="2376" spans="1:14" hidden="1">
      <c r="A2376" s="281"/>
      <c r="B2376" s="282"/>
      <c r="C2376" s="281"/>
      <c r="D2376" s="281"/>
      <c r="E2376" s="255" t="s">
        <v>367</v>
      </c>
      <c r="L2376" s="264">
        <v>1525</v>
      </c>
      <c r="M2376" s="264">
        <v>1530</v>
      </c>
      <c r="N2376" s="264">
        <v>1464</v>
      </c>
    </row>
    <row r="2377" spans="1:14" hidden="1">
      <c r="A2377" s="281"/>
      <c r="B2377" s="282"/>
      <c r="C2377" s="281">
        <v>43</v>
      </c>
      <c r="D2377" s="281" t="s">
        <v>104</v>
      </c>
      <c r="E2377" s="255" t="s">
        <v>84</v>
      </c>
      <c r="L2377" s="264">
        <v>183500</v>
      </c>
      <c r="M2377" s="264">
        <v>195000</v>
      </c>
      <c r="N2377" s="264">
        <v>195000</v>
      </c>
    </row>
    <row r="2378" spans="1:14" hidden="1">
      <c r="A2378" s="281"/>
      <c r="B2378" s="282"/>
      <c r="C2378" s="281"/>
      <c r="D2378" s="281"/>
      <c r="E2378" s="255" t="s">
        <v>226</v>
      </c>
      <c r="L2378" s="264">
        <v>308470</v>
      </c>
      <c r="M2378" s="264">
        <v>323680</v>
      </c>
      <c r="N2378" s="264">
        <v>324440</v>
      </c>
    </row>
    <row r="2379" spans="1:14" hidden="1">
      <c r="A2379" s="281"/>
      <c r="B2379" s="282"/>
      <c r="C2379" s="281"/>
      <c r="D2379" s="281"/>
      <c r="E2379" s="255" t="s">
        <v>192</v>
      </c>
      <c r="L2379" s="264">
        <v>1600</v>
      </c>
      <c r="M2379" s="264">
        <v>1550</v>
      </c>
      <c r="N2379" s="264">
        <v>580</v>
      </c>
    </row>
    <row r="2380" spans="1:14" hidden="1">
      <c r="A2380" s="281"/>
      <c r="B2380" s="282"/>
      <c r="C2380" s="281"/>
      <c r="D2380" s="281"/>
      <c r="E2380" s="255" t="s">
        <v>204</v>
      </c>
      <c r="L2380" s="264">
        <v>15900</v>
      </c>
      <c r="M2380" s="264">
        <v>16000</v>
      </c>
      <c r="N2380" s="264">
        <v>16000</v>
      </c>
    </row>
    <row r="2381" spans="1:14" hidden="1">
      <c r="A2381" s="281"/>
      <c r="B2381" s="282"/>
      <c r="C2381" s="281"/>
      <c r="D2381" s="281"/>
      <c r="E2381" s="255" t="s">
        <v>209</v>
      </c>
      <c r="L2381" s="264">
        <v>1500</v>
      </c>
      <c r="M2381" s="264">
        <v>1500</v>
      </c>
      <c r="N2381" s="264">
        <v>1500</v>
      </c>
    </row>
    <row r="2382" spans="1:14" hidden="1">
      <c r="A2382" s="281"/>
      <c r="B2382" s="282"/>
      <c r="C2382" s="281"/>
      <c r="D2382" s="281"/>
      <c r="E2382" s="255" t="s">
        <v>215</v>
      </c>
      <c r="L2382" s="264">
        <v>600</v>
      </c>
      <c r="M2382" s="264">
        <v>600</v>
      </c>
      <c r="N2382" s="264">
        <v>600</v>
      </c>
    </row>
    <row r="2383" spans="1:14" hidden="1">
      <c r="A2383" s="281"/>
      <c r="B2383" s="282"/>
      <c r="C2383" s="281"/>
      <c r="D2383" s="281"/>
      <c r="E2383" s="255" t="s">
        <v>283</v>
      </c>
      <c r="L2383" s="264">
        <v>750</v>
      </c>
      <c r="M2383" s="264">
        <v>750</v>
      </c>
      <c r="N2383" s="264">
        <v>750</v>
      </c>
    </row>
    <row r="2384" spans="1:14" hidden="1">
      <c r="A2384" s="281"/>
      <c r="B2384" s="282"/>
      <c r="C2384" s="281"/>
      <c r="D2384" s="281"/>
      <c r="E2384" s="255" t="s">
        <v>367</v>
      </c>
      <c r="L2384" s="264">
        <v>16180</v>
      </c>
      <c r="M2384" s="264">
        <v>57420</v>
      </c>
      <c r="N2384" s="264">
        <v>21130</v>
      </c>
    </row>
    <row r="2385" spans="1:14" hidden="1">
      <c r="A2385" s="281"/>
      <c r="B2385" s="282"/>
      <c r="C2385" s="281">
        <v>52</v>
      </c>
      <c r="D2385" s="281" t="s">
        <v>69</v>
      </c>
      <c r="E2385" s="255" t="s">
        <v>84</v>
      </c>
      <c r="L2385" s="264">
        <v>7560</v>
      </c>
      <c r="M2385" s="264">
        <v>7680</v>
      </c>
      <c r="N2385" s="264">
        <v>7680</v>
      </c>
    </row>
    <row r="2386" spans="1:14" hidden="1">
      <c r="A2386" s="281"/>
      <c r="B2386" s="282"/>
      <c r="C2386" s="281"/>
      <c r="D2386" s="281"/>
      <c r="E2386" s="255" t="s">
        <v>226</v>
      </c>
      <c r="L2386" s="264">
        <v>11050</v>
      </c>
      <c r="M2386" s="264">
        <v>11230</v>
      </c>
      <c r="N2386" s="264">
        <v>11230</v>
      </c>
    </row>
    <row r="2387" spans="1:14" hidden="1">
      <c r="A2387" s="281"/>
      <c r="B2387" s="282"/>
      <c r="C2387" s="281"/>
      <c r="D2387" s="281"/>
      <c r="E2387" s="255" t="s">
        <v>192</v>
      </c>
      <c r="L2387" s="264">
        <v>130</v>
      </c>
      <c r="M2387" s="264">
        <v>80</v>
      </c>
      <c r="N2387" s="264">
        <v>80</v>
      </c>
    </row>
    <row r="2388" spans="1:14" hidden="1">
      <c r="A2388" s="281"/>
      <c r="B2388" s="282"/>
      <c r="C2388" s="281"/>
      <c r="D2388" s="281"/>
      <c r="E2388" s="255" t="s">
        <v>367</v>
      </c>
      <c r="L2388" s="264">
        <v>3300</v>
      </c>
      <c r="M2388" s="264">
        <v>3250</v>
      </c>
      <c r="N2388" s="264">
        <v>3250</v>
      </c>
    </row>
    <row r="2389" spans="1:14" ht="30" hidden="1">
      <c r="A2389" s="281" t="s">
        <v>365</v>
      </c>
      <c r="B2389" s="282" t="s">
        <v>366</v>
      </c>
      <c r="C2389" s="281">
        <v>11</v>
      </c>
      <c r="D2389" s="281" t="s">
        <v>100</v>
      </c>
      <c r="E2389" s="255" t="s">
        <v>84</v>
      </c>
      <c r="L2389" s="264">
        <v>310196.48473910562</v>
      </c>
      <c r="M2389" s="264">
        <v>310196.48473910562</v>
      </c>
      <c r="N2389" s="264">
        <v>310196.48473910562</v>
      </c>
    </row>
    <row r="2390" spans="1:14" hidden="1">
      <c r="A2390" s="281"/>
      <c r="B2390" s="282"/>
      <c r="C2390" s="281"/>
      <c r="D2390" s="281"/>
      <c r="E2390" s="255" t="s">
        <v>226</v>
      </c>
      <c r="L2390" s="264">
        <v>766610.02109006536</v>
      </c>
      <c r="M2390" s="264">
        <v>766610.02109006536</v>
      </c>
      <c r="N2390" s="264">
        <v>766610.02109006536</v>
      </c>
    </row>
    <row r="2391" spans="1:14" hidden="1">
      <c r="A2391" s="281"/>
      <c r="B2391" s="282"/>
      <c r="C2391" s="281"/>
      <c r="D2391" s="281"/>
      <c r="E2391" s="255" t="s">
        <v>209</v>
      </c>
      <c r="L2391" s="264">
        <v>36706.995442138432</v>
      </c>
      <c r="M2391" s="264">
        <v>36706.995442138432</v>
      </c>
      <c r="N2391" s="264">
        <v>36706.995442138432</v>
      </c>
    </row>
    <row r="2392" spans="1:14" hidden="1">
      <c r="A2392" s="281"/>
      <c r="B2392" s="282"/>
      <c r="C2392" s="281"/>
      <c r="D2392" s="281"/>
      <c r="E2392" s="255" t="s">
        <v>215</v>
      </c>
      <c r="L2392" s="264">
        <v>27393.612877639229</v>
      </c>
      <c r="M2392" s="264">
        <v>27393.612877639229</v>
      </c>
      <c r="N2392" s="264">
        <v>27393.612877639229</v>
      </c>
    </row>
    <row r="2393" spans="1:14" hidden="1">
      <c r="A2393" s="281"/>
      <c r="B2393" s="282"/>
      <c r="C2393" s="281"/>
      <c r="D2393" s="281"/>
      <c r="E2393" s="255" t="s">
        <v>283</v>
      </c>
      <c r="L2393" s="264">
        <v>59169.411257659609</v>
      </c>
      <c r="M2393" s="264">
        <v>59169.411257659609</v>
      </c>
      <c r="N2393" s="264">
        <v>59169.411257659609</v>
      </c>
    </row>
    <row r="2394" spans="1:14" hidden="1">
      <c r="A2394" s="281"/>
      <c r="B2394" s="282"/>
      <c r="C2394" s="281"/>
      <c r="D2394" s="281"/>
      <c r="E2394" s="255" t="s">
        <v>367</v>
      </c>
      <c r="L2394" s="264">
        <v>48212.296339121051</v>
      </c>
      <c r="M2394" s="264">
        <v>48212.296339121051</v>
      </c>
      <c r="N2394" s="264">
        <v>48212.296339121051</v>
      </c>
    </row>
    <row r="2395" spans="1:14" ht="30" hidden="1">
      <c r="A2395" s="281" t="s">
        <v>450</v>
      </c>
      <c r="B2395" s="282" t="s">
        <v>451</v>
      </c>
      <c r="C2395" s="281">
        <v>11</v>
      </c>
      <c r="D2395" s="281" t="s">
        <v>100</v>
      </c>
      <c r="E2395" s="255" t="s">
        <v>84</v>
      </c>
      <c r="L2395" s="264">
        <v>6447385.2711802516</v>
      </c>
      <c r="M2395" s="264">
        <v>5810035.2711802516</v>
      </c>
      <c r="N2395" s="264">
        <v>5837815.2711802516</v>
      </c>
    </row>
    <row r="2396" spans="1:14" hidden="1">
      <c r="A2396" s="281"/>
      <c r="B2396" s="282"/>
      <c r="C2396" s="281"/>
      <c r="D2396" s="281"/>
      <c r="E2396" s="255" t="s">
        <v>226</v>
      </c>
      <c r="L2396" s="264">
        <v>244314.32089540237</v>
      </c>
      <c r="M2396" s="264">
        <v>244314.32089540237</v>
      </c>
      <c r="N2396" s="264">
        <v>244314.32089540237</v>
      </c>
    </row>
    <row r="2397" spans="1:14" hidden="1">
      <c r="A2397" s="281"/>
      <c r="B2397" s="282"/>
      <c r="C2397" s="281"/>
      <c r="D2397" s="281"/>
      <c r="E2397" s="255" t="s">
        <v>215</v>
      </c>
      <c r="L2397" s="264">
        <v>13272</v>
      </c>
      <c r="M2397" s="264">
        <v>13272</v>
      </c>
      <c r="N2397" s="264">
        <v>13272</v>
      </c>
    </row>
    <row r="2398" spans="1:14" ht="30" hidden="1">
      <c r="A2398" s="281" t="s">
        <v>452</v>
      </c>
      <c r="B2398" s="282" t="s">
        <v>453</v>
      </c>
      <c r="C2398" s="281">
        <v>51</v>
      </c>
      <c r="D2398" s="281" t="s">
        <v>109</v>
      </c>
      <c r="E2398" s="255" t="s">
        <v>226</v>
      </c>
      <c r="L2398" s="264">
        <v>10000</v>
      </c>
      <c r="M2398" s="264">
        <v>15620</v>
      </c>
      <c r="N2398" s="264">
        <v>1000</v>
      </c>
    </row>
    <row r="2399" spans="1:14" hidden="1">
      <c r="A2399" s="281"/>
      <c r="B2399" s="282"/>
      <c r="C2399" s="281">
        <v>52</v>
      </c>
      <c r="D2399" s="281" t="s">
        <v>69</v>
      </c>
      <c r="E2399" s="255" t="s">
        <v>84</v>
      </c>
      <c r="L2399" s="264">
        <v>8346</v>
      </c>
      <c r="M2399" s="264">
        <v>0</v>
      </c>
      <c r="N2399" s="264">
        <v>0</v>
      </c>
    </row>
    <row r="2400" spans="1:14" hidden="1">
      <c r="A2400" s="281"/>
      <c r="B2400" s="282"/>
      <c r="C2400" s="281"/>
      <c r="D2400" s="281"/>
      <c r="E2400" s="255" t="s">
        <v>226</v>
      </c>
      <c r="L2400" s="264">
        <v>325125</v>
      </c>
      <c r="M2400" s="264">
        <v>40510</v>
      </c>
      <c r="N2400" s="264">
        <v>37065</v>
      </c>
    </row>
    <row r="2401" spans="1:14" hidden="1">
      <c r="A2401" s="281"/>
      <c r="B2401" s="282"/>
      <c r="C2401" s="281">
        <v>61</v>
      </c>
      <c r="D2401" s="281" t="s">
        <v>276</v>
      </c>
      <c r="E2401" s="255" t="s">
        <v>84</v>
      </c>
      <c r="L2401" s="264">
        <v>263095</v>
      </c>
      <c r="M2401" s="264">
        <v>0</v>
      </c>
      <c r="N2401" s="264">
        <v>0</v>
      </c>
    </row>
    <row r="2402" spans="1:14" hidden="1">
      <c r="A2402" s="281"/>
      <c r="B2402" s="282"/>
      <c r="C2402" s="281"/>
      <c r="D2402" s="281"/>
      <c r="E2402" s="255" t="s">
        <v>226</v>
      </c>
      <c r="L2402" s="264">
        <v>361006</v>
      </c>
      <c r="M2402" s="264">
        <v>0</v>
      </c>
      <c r="N2402" s="264">
        <v>0</v>
      </c>
    </row>
    <row r="2403" spans="1:14" hidden="1">
      <c r="A2403" s="281"/>
      <c r="B2403" s="282" t="s">
        <v>395</v>
      </c>
      <c r="C2403" s="281">
        <v>43</v>
      </c>
      <c r="D2403" s="281" t="s">
        <v>104</v>
      </c>
      <c r="E2403" s="255" t="s">
        <v>84</v>
      </c>
      <c r="L2403" s="264">
        <v>45789</v>
      </c>
      <c r="M2403" s="264">
        <v>0</v>
      </c>
      <c r="N2403" s="264">
        <v>0</v>
      </c>
    </row>
    <row r="2404" spans="1:14" hidden="1">
      <c r="A2404" s="281"/>
      <c r="B2404" s="282"/>
      <c r="C2404" s="281"/>
      <c r="D2404" s="281"/>
      <c r="E2404" s="255" t="s">
        <v>226</v>
      </c>
      <c r="L2404" s="264">
        <v>63707</v>
      </c>
      <c r="M2404" s="264">
        <v>0</v>
      </c>
      <c r="N2404" s="264">
        <v>0</v>
      </c>
    </row>
    <row r="2405" spans="1:14" ht="30" hidden="1">
      <c r="A2405" s="281" t="s">
        <v>454</v>
      </c>
      <c r="B2405" s="282" t="s">
        <v>455</v>
      </c>
      <c r="C2405" s="281">
        <v>31</v>
      </c>
      <c r="D2405" s="281" t="s">
        <v>333</v>
      </c>
      <c r="E2405" s="255" t="s">
        <v>226</v>
      </c>
      <c r="L2405" s="264">
        <v>192116</v>
      </c>
      <c r="M2405" s="264">
        <v>196845</v>
      </c>
      <c r="N2405" s="264">
        <v>196845</v>
      </c>
    </row>
    <row r="2406" spans="1:14" hidden="1">
      <c r="A2406" s="281"/>
      <c r="B2406" s="282"/>
      <c r="C2406" s="281">
        <v>43</v>
      </c>
      <c r="D2406" s="281" t="s">
        <v>104</v>
      </c>
      <c r="E2406" s="255" t="s">
        <v>84</v>
      </c>
      <c r="L2406" s="264">
        <v>1648761</v>
      </c>
      <c r="M2406" s="264">
        <v>1662002</v>
      </c>
      <c r="N2406" s="264">
        <v>1668902</v>
      </c>
    </row>
    <row r="2407" spans="1:14" hidden="1">
      <c r="A2407" s="281"/>
      <c r="B2407" s="282"/>
      <c r="C2407" s="281"/>
      <c r="D2407" s="281"/>
      <c r="E2407" s="255" t="s">
        <v>226</v>
      </c>
      <c r="L2407" s="264">
        <v>773972</v>
      </c>
      <c r="M2407" s="264">
        <v>652157</v>
      </c>
      <c r="N2407" s="264">
        <v>634617</v>
      </c>
    </row>
    <row r="2408" spans="1:14" hidden="1">
      <c r="A2408" s="281"/>
      <c r="B2408" s="282"/>
      <c r="C2408" s="281"/>
      <c r="D2408" s="281"/>
      <c r="E2408" s="255" t="s">
        <v>192</v>
      </c>
      <c r="L2408" s="264">
        <v>6676</v>
      </c>
      <c r="M2408" s="264">
        <v>6540</v>
      </c>
      <c r="N2408" s="264">
        <v>6540</v>
      </c>
    </row>
    <row r="2409" spans="1:14" hidden="1">
      <c r="A2409" s="281"/>
      <c r="B2409" s="282"/>
      <c r="C2409" s="281"/>
      <c r="D2409" s="281"/>
      <c r="E2409" s="255" t="s">
        <v>209</v>
      </c>
      <c r="L2409" s="264">
        <v>39817</v>
      </c>
      <c r="M2409" s="264">
        <v>40000</v>
      </c>
      <c r="N2409" s="264">
        <v>40000</v>
      </c>
    </row>
    <row r="2410" spans="1:14" hidden="1">
      <c r="A2410" s="281"/>
      <c r="B2410" s="282"/>
      <c r="C2410" s="281"/>
      <c r="D2410" s="281"/>
      <c r="E2410" s="255" t="s">
        <v>283</v>
      </c>
      <c r="L2410" s="264">
        <v>510983</v>
      </c>
      <c r="M2410" s="264">
        <v>13137</v>
      </c>
      <c r="N2410" s="264">
        <v>0</v>
      </c>
    </row>
    <row r="2411" spans="1:14" hidden="1">
      <c r="A2411" s="281"/>
      <c r="B2411" s="282"/>
      <c r="C2411" s="281"/>
      <c r="D2411" s="281"/>
      <c r="E2411" s="255" t="s">
        <v>367</v>
      </c>
      <c r="L2411" s="264">
        <v>3939213</v>
      </c>
      <c r="M2411" s="264">
        <v>245664</v>
      </c>
      <c r="N2411" s="264">
        <v>184811</v>
      </c>
    </row>
    <row r="2412" spans="1:14" hidden="1">
      <c r="A2412" s="281"/>
      <c r="B2412" s="282"/>
      <c r="C2412" s="281">
        <v>52</v>
      </c>
      <c r="D2412" s="281" t="s">
        <v>69</v>
      </c>
      <c r="E2412" s="255" t="s">
        <v>84</v>
      </c>
      <c r="L2412" s="264">
        <v>18582</v>
      </c>
      <c r="M2412" s="264">
        <v>18582</v>
      </c>
      <c r="N2412" s="264">
        <v>18582</v>
      </c>
    </row>
    <row r="2413" spans="1:14" hidden="1">
      <c r="A2413" s="281"/>
      <c r="B2413" s="282"/>
      <c r="C2413" s="281"/>
      <c r="D2413" s="281"/>
      <c r="E2413" s="255" t="s">
        <v>226</v>
      </c>
      <c r="L2413" s="264">
        <v>13073</v>
      </c>
      <c r="M2413" s="264">
        <v>26476</v>
      </c>
      <c r="N2413" s="264">
        <v>25183</v>
      </c>
    </row>
    <row r="2414" spans="1:14" hidden="1">
      <c r="A2414" s="281"/>
      <c r="B2414" s="282"/>
      <c r="C2414" s="281"/>
      <c r="D2414" s="281"/>
      <c r="E2414" s="255" t="s">
        <v>209</v>
      </c>
      <c r="L2414" s="264">
        <v>1327</v>
      </c>
      <c r="M2414" s="264">
        <v>1327</v>
      </c>
      <c r="N2414" s="264">
        <v>0</v>
      </c>
    </row>
    <row r="2415" spans="1:14" hidden="1">
      <c r="A2415" s="281"/>
      <c r="B2415" s="282"/>
      <c r="C2415" s="281"/>
      <c r="D2415" s="281"/>
      <c r="E2415" s="255" t="s">
        <v>367</v>
      </c>
      <c r="L2415" s="264">
        <v>20572</v>
      </c>
      <c r="M2415" s="264">
        <v>5840</v>
      </c>
      <c r="N2415" s="264">
        <v>0</v>
      </c>
    </row>
    <row r="2416" spans="1:14" hidden="1">
      <c r="A2416" s="281"/>
      <c r="B2416" s="282"/>
      <c r="C2416" s="281">
        <v>61</v>
      </c>
      <c r="D2416" s="281" t="s">
        <v>276</v>
      </c>
      <c r="E2416" s="255" t="s">
        <v>367</v>
      </c>
      <c r="L2416" s="264">
        <v>1327</v>
      </c>
      <c r="M2416" s="264">
        <v>1327</v>
      </c>
      <c r="N2416" s="264">
        <v>1327</v>
      </c>
    </row>
    <row r="2417" spans="1:14" hidden="1">
      <c r="A2417" s="281"/>
      <c r="B2417" s="282"/>
      <c r="C2417" s="281">
        <v>71</v>
      </c>
      <c r="D2417" s="281" t="s">
        <v>387</v>
      </c>
      <c r="E2417" s="255" t="s">
        <v>367</v>
      </c>
      <c r="L2417" s="264">
        <v>2654</v>
      </c>
      <c r="M2417" s="264">
        <v>2654</v>
      </c>
      <c r="N2417" s="264">
        <v>2654</v>
      </c>
    </row>
    <row r="2418" spans="1:14" hidden="1">
      <c r="A2418" s="281" t="s">
        <v>440</v>
      </c>
      <c r="B2418" s="282" t="s">
        <v>441</v>
      </c>
      <c r="C2418" s="281">
        <v>11</v>
      </c>
      <c r="D2418" s="281" t="s">
        <v>100</v>
      </c>
      <c r="E2418" s="255" t="s">
        <v>226</v>
      </c>
      <c r="L2418" s="264">
        <v>25137.69</v>
      </c>
      <c r="M2418" s="264">
        <v>25137.69</v>
      </c>
      <c r="N2418" s="264">
        <v>25137.69</v>
      </c>
    </row>
    <row r="2419" spans="1:14" ht="30" hidden="1">
      <c r="A2419" s="281" t="s">
        <v>419</v>
      </c>
      <c r="B2419" s="282" t="s">
        <v>420</v>
      </c>
      <c r="C2419" s="281">
        <v>11</v>
      </c>
      <c r="D2419" s="281" t="s">
        <v>100</v>
      </c>
      <c r="E2419" s="255" t="s">
        <v>84</v>
      </c>
      <c r="L2419" s="264">
        <v>2610855.0130122472</v>
      </c>
      <c r="M2419" s="264">
        <v>2623261.7122572223</v>
      </c>
      <c r="N2419" s="264">
        <v>2635726.6112287021</v>
      </c>
    </row>
    <row r="2420" spans="1:14" hidden="1">
      <c r="A2420" s="281"/>
      <c r="B2420" s="282"/>
      <c r="C2420" s="281"/>
      <c r="D2420" s="281"/>
      <c r="E2420" s="255" t="s">
        <v>226</v>
      </c>
      <c r="L2420" s="264">
        <v>46205.659334314718</v>
      </c>
      <c r="M2420" s="264">
        <v>46425.227144828721</v>
      </c>
      <c r="N2420" s="264">
        <v>46645.824946178232</v>
      </c>
    </row>
    <row r="2421" spans="1:14" ht="30" hidden="1">
      <c r="A2421" s="281" t="s">
        <v>365</v>
      </c>
      <c r="B2421" s="282" t="s">
        <v>366</v>
      </c>
      <c r="C2421" s="281">
        <v>11</v>
      </c>
      <c r="D2421" s="281" t="s">
        <v>100</v>
      </c>
      <c r="E2421" s="255" t="s">
        <v>226</v>
      </c>
      <c r="L2421" s="264">
        <v>224641.52527314832</v>
      </c>
      <c r="M2421" s="264">
        <v>224641.52527314832</v>
      </c>
      <c r="N2421" s="264">
        <v>224641.52527314832</v>
      </c>
    </row>
    <row r="2422" spans="1:14" hidden="1">
      <c r="A2422" s="281"/>
      <c r="B2422" s="282"/>
      <c r="C2422" s="281"/>
      <c r="D2422" s="281"/>
      <c r="E2422" s="255" t="s">
        <v>192</v>
      </c>
      <c r="L2422" s="264">
        <v>10470.848931240018</v>
      </c>
      <c r="M2422" s="264">
        <v>10470.848931240018</v>
      </c>
      <c r="N2422" s="264">
        <v>10470.848931240018</v>
      </c>
    </row>
    <row r="2423" spans="1:14" ht="30" hidden="1">
      <c r="A2423" s="281" t="s">
        <v>421</v>
      </c>
      <c r="B2423" s="282" t="s">
        <v>422</v>
      </c>
      <c r="C2423" s="281">
        <v>31</v>
      </c>
      <c r="D2423" s="281" t="s">
        <v>333</v>
      </c>
      <c r="E2423" s="255" t="s">
        <v>226</v>
      </c>
      <c r="L2423" s="264">
        <v>199150</v>
      </c>
      <c r="M2423" s="264">
        <v>225722</v>
      </c>
      <c r="N2423" s="264">
        <v>252266</v>
      </c>
    </row>
    <row r="2424" spans="1:14" hidden="1">
      <c r="A2424" s="281"/>
      <c r="B2424" s="282"/>
      <c r="C2424" s="281">
        <v>43</v>
      </c>
      <c r="D2424" s="281" t="s">
        <v>104</v>
      </c>
      <c r="E2424" s="255" t="s">
        <v>84</v>
      </c>
      <c r="L2424" s="264">
        <v>271285</v>
      </c>
      <c r="M2424" s="264">
        <v>271285</v>
      </c>
      <c r="N2424" s="264">
        <v>271285</v>
      </c>
    </row>
    <row r="2425" spans="1:14" hidden="1">
      <c r="A2425" s="281"/>
      <c r="B2425" s="282"/>
      <c r="C2425" s="281"/>
      <c r="D2425" s="281"/>
      <c r="E2425" s="255" t="s">
        <v>226</v>
      </c>
      <c r="L2425" s="264">
        <v>1047206</v>
      </c>
      <c r="M2425" s="264">
        <v>1101799</v>
      </c>
      <c r="N2425" s="264">
        <v>1100224</v>
      </c>
    </row>
    <row r="2426" spans="1:14" hidden="1">
      <c r="A2426" s="281"/>
      <c r="B2426" s="282"/>
      <c r="C2426" s="281"/>
      <c r="D2426" s="281"/>
      <c r="E2426" s="255" t="s">
        <v>192</v>
      </c>
      <c r="L2426" s="264">
        <v>37221</v>
      </c>
      <c r="M2426" s="264">
        <v>37336</v>
      </c>
      <c r="N2426" s="264">
        <v>37336</v>
      </c>
    </row>
    <row r="2427" spans="1:14" hidden="1">
      <c r="A2427" s="281"/>
      <c r="B2427" s="282"/>
      <c r="C2427" s="281"/>
      <c r="D2427" s="281"/>
      <c r="E2427" s="255" t="s">
        <v>209</v>
      </c>
      <c r="L2427" s="264">
        <v>26544</v>
      </c>
      <c r="M2427" s="264">
        <v>26544</v>
      </c>
      <c r="N2427" s="264">
        <v>26548</v>
      </c>
    </row>
    <row r="2428" spans="1:14" hidden="1">
      <c r="A2428" s="281"/>
      <c r="B2428" s="282"/>
      <c r="C2428" s="281"/>
      <c r="D2428" s="281"/>
      <c r="E2428" s="255" t="s">
        <v>283</v>
      </c>
      <c r="L2428" s="264">
        <v>187082</v>
      </c>
      <c r="M2428" s="264">
        <v>208898</v>
      </c>
      <c r="N2428" s="264">
        <v>218898</v>
      </c>
    </row>
    <row r="2429" spans="1:14" hidden="1">
      <c r="A2429" s="281"/>
      <c r="B2429" s="282"/>
      <c r="C2429" s="281"/>
      <c r="D2429" s="281"/>
      <c r="E2429" s="255" t="s">
        <v>367</v>
      </c>
      <c r="L2429" s="264">
        <v>647551</v>
      </c>
      <c r="M2429" s="264">
        <v>664824</v>
      </c>
      <c r="N2429" s="264">
        <v>685347</v>
      </c>
    </row>
    <row r="2430" spans="1:14" hidden="1">
      <c r="A2430" s="281"/>
      <c r="B2430" s="282"/>
      <c r="C2430" s="281"/>
      <c r="D2430" s="281"/>
      <c r="E2430" s="255" t="s">
        <v>322</v>
      </c>
      <c r="L2430" s="264">
        <v>484105</v>
      </c>
      <c r="M2430" s="264">
        <v>492036</v>
      </c>
      <c r="N2430" s="264">
        <v>501932</v>
      </c>
    </row>
    <row r="2431" spans="1:14" hidden="1">
      <c r="A2431" s="281"/>
      <c r="B2431" s="282"/>
      <c r="C2431" s="281">
        <v>52</v>
      </c>
      <c r="D2431" s="281" t="s">
        <v>69</v>
      </c>
      <c r="E2431" s="255" t="s">
        <v>367</v>
      </c>
      <c r="L2431" s="264">
        <v>52426</v>
      </c>
      <c r="M2431" s="264">
        <v>53754</v>
      </c>
      <c r="N2431" s="264">
        <v>56407</v>
      </c>
    </row>
    <row r="2432" spans="1:14" ht="30" hidden="1">
      <c r="A2432" s="281" t="s">
        <v>419</v>
      </c>
      <c r="B2432" s="282" t="s">
        <v>420</v>
      </c>
      <c r="C2432" s="281">
        <v>11</v>
      </c>
      <c r="D2432" s="281" t="s">
        <v>100</v>
      </c>
      <c r="E2432" s="255" t="s">
        <v>84</v>
      </c>
      <c r="L2432" s="264">
        <v>4993348.804561656</v>
      </c>
      <c r="M2432" s="264">
        <v>5017077.0378548466</v>
      </c>
      <c r="N2432" s="264">
        <v>5040916.5800998267</v>
      </c>
    </row>
    <row r="2433" spans="1:14" hidden="1">
      <c r="A2433" s="281"/>
      <c r="B2433" s="282"/>
      <c r="C2433" s="281"/>
      <c r="D2433" s="281"/>
      <c r="E2433" s="255" t="s">
        <v>226</v>
      </c>
      <c r="L2433" s="264">
        <v>97226.47705745</v>
      </c>
      <c r="M2433" s="264">
        <v>97688.494156633373</v>
      </c>
      <c r="N2433" s="264">
        <v>98152.678574317979</v>
      </c>
    </row>
    <row r="2434" spans="1:14" ht="30" hidden="1">
      <c r="A2434" s="281" t="s">
        <v>381</v>
      </c>
      <c r="B2434" s="282" t="s">
        <v>382</v>
      </c>
      <c r="C2434" s="281">
        <v>11</v>
      </c>
      <c r="D2434" s="281" t="s">
        <v>100</v>
      </c>
      <c r="E2434" s="255" t="s">
        <v>226</v>
      </c>
      <c r="L2434" s="264">
        <v>1152</v>
      </c>
      <c r="M2434" s="264">
        <v>1152</v>
      </c>
      <c r="N2434" s="264">
        <v>1152</v>
      </c>
    </row>
    <row r="2435" spans="1:14" ht="30" hidden="1">
      <c r="A2435" s="281" t="s">
        <v>365</v>
      </c>
      <c r="B2435" s="282" t="s">
        <v>366</v>
      </c>
      <c r="C2435" s="281">
        <v>11</v>
      </c>
      <c r="D2435" s="281" t="s">
        <v>100</v>
      </c>
      <c r="E2435" s="255" t="s">
        <v>226</v>
      </c>
      <c r="L2435" s="264">
        <v>238728.24880557213</v>
      </c>
      <c r="M2435" s="264">
        <v>238728.24880557213</v>
      </c>
      <c r="N2435" s="264">
        <v>238728.24880557213</v>
      </c>
    </row>
    <row r="2436" spans="1:14" hidden="1">
      <c r="A2436" s="281"/>
      <c r="B2436" s="282"/>
      <c r="C2436" s="281"/>
      <c r="D2436" s="281"/>
      <c r="E2436" s="255" t="s">
        <v>367</v>
      </c>
      <c r="L2436" s="264">
        <v>110742.83572810974</v>
      </c>
      <c r="M2436" s="264">
        <v>110742.83572810974</v>
      </c>
      <c r="N2436" s="264">
        <v>110742.83572810974</v>
      </c>
    </row>
    <row r="2437" spans="1:14" ht="30" hidden="1">
      <c r="A2437" s="281" t="s">
        <v>423</v>
      </c>
      <c r="B2437" s="282" t="s">
        <v>424</v>
      </c>
      <c r="C2437" s="281">
        <v>51</v>
      </c>
      <c r="D2437" s="281" t="s">
        <v>109</v>
      </c>
      <c r="E2437" s="255" t="s">
        <v>226</v>
      </c>
      <c r="L2437" s="264">
        <v>18581</v>
      </c>
      <c r="M2437" s="264">
        <v>0</v>
      </c>
      <c r="N2437" s="264">
        <v>0</v>
      </c>
    </row>
    <row r="2438" spans="1:14" hidden="1">
      <c r="A2438" s="281"/>
      <c r="B2438" s="282"/>
      <c r="C2438" s="281"/>
      <c r="D2438" s="281"/>
      <c r="E2438" s="255" t="s">
        <v>367</v>
      </c>
      <c r="L2438" s="264">
        <v>2960</v>
      </c>
      <c r="M2438" s="264">
        <v>0</v>
      </c>
      <c r="N2438" s="264">
        <v>0</v>
      </c>
    </row>
    <row r="2439" spans="1:14" ht="30" hidden="1">
      <c r="A2439" s="281" t="s">
        <v>421</v>
      </c>
      <c r="B2439" s="282" t="s">
        <v>422</v>
      </c>
      <c r="C2439" s="281">
        <v>31</v>
      </c>
      <c r="D2439" s="281" t="s">
        <v>333</v>
      </c>
      <c r="E2439" s="255" t="s">
        <v>84</v>
      </c>
      <c r="L2439" s="264">
        <v>4911</v>
      </c>
      <c r="M2439" s="264">
        <v>10531</v>
      </c>
      <c r="N2439" s="264">
        <v>10618</v>
      </c>
    </row>
    <row r="2440" spans="1:14" hidden="1">
      <c r="A2440" s="281"/>
      <c r="B2440" s="282"/>
      <c r="C2440" s="281"/>
      <c r="D2440" s="281"/>
      <c r="E2440" s="255" t="s">
        <v>226</v>
      </c>
      <c r="L2440" s="264">
        <v>5309</v>
      </c>
      <c r="M2440" s="264">
        <v>13804</v>
      </c>
      <c r="N2440" s="264">
        <v>15927</v>
      </c>
    </row>
    <row r="2441" spans="1:14" hidden="1">
      <c r="A2441" s="281"/>
      <c r="B2441" s="282"/>
      <c r="C2441" s="281"/>
      <c r="D2441" s="281"/>
      <c r="E2441" s="255" t="s">
        <v>367</v>
      </c>
      <c r="L2441" s="264">
        <v>0</v>
      </c>
      <c r="M2441" s="264">
        <v>2654</v>
      </c>
      <c r="N2441" s="264">
        <v>2654</v>
      </c>
    </row>
    <row r="2442" spans="1:14" hidden="1">
      <c r="A2442" s="281"/>
      <c r="B2442" s="282"/>
      <c r="C2442" s="281"/>
      <c r="D2442" s="281"/>
      <c r="E2442" s="255" t="s">
        <v>396</v>
      </c>
      <c r="L2442" s="264">
        <v>16325</v>
      </c>
      <c r="M2442" s="264">
        <v>2210</v>
      </c>
      <c r="N2442" s="264">
        <v>0</v>
      </c>
    </row>
    <row r="2443" spans="1:14" hidden="1">
      <c r="A2443" s="281"/>
      <c r="B2443" s="282"/>
      <c r="C2443" s="281">
        <v>43</v>
      </c>
      <c r="D2443" s="281" t="s">
        <v>104</v>
      </c>
      <c r="E2443" s="255" t="s">
        <v>226</v>
      </c>
      <c r="L2443" s="264">
        <v>229611</v>
      </c>
      <c r="M2443" s="264">
        <v>227779</v>
      </c>
      <c r="N2443" s="264">
        <v>227779</v>
      </c>
    </row>
    <row r="2444" spans="1:14" hidden="1">
      <c r="A2444" s="281"/>
      <c r="B2444" s="282"/>
      <c r="C2444" s="281"/>
      <c r="D2444" s="281"/>
      <c r="E2444" s="255" t="s">
        <v>367</v>
      </c>
      <c r="L2444" s="264">
        <v>88924</v>
      </c>
      <c r="M2444" s="264">
        <v>64211</v>
      </c>
      <c r="N2444" s="264">
        <v>64211</v>
      </c>
    </row>
    <row r="2445" spans="1:14" hidden="1">
      <c r="A2445" s="281"/>
      <c r="B2445" s="282"/>
      <c r="C2445" s="281">
        <v>52</v>
      </c>
      <c r="D2445" s="281" t="s">
        <v>69</v>
      </c>
      <c r="E2445" s="255" t="s">
        <v>367</v>
      </c>
      <c r="L2445" s="264">
        <v>13272</v>
      </c>
      <c r="M2445" s="264">
        <v>0</v>
      </c>
      <c r="N2445" s="264">
        <v>0</v>
      </c>
    </row>
    <row r="2446" spans="1:14" hidden="1">
      <c r="A2446" s="281"/>
      <c r="B2446" s="282"/>
      <c r="C2446" s="281">
        <v>61</v>
      </c>
      <c r="D2446" s="281" t="s">
        <v>276</v>
      </c>
      <c r="E2446" s="255" t="s">
        <v>226</v>
      </c>
      <c r="L2446" s="264">
        <v>5972</v>
      </c>
      <c r="M2446" s="264">
        <v>5972</v>
      </c>
      <c r="N2446" s="264">
        <v>5972</v>
      </c>
    </row>
    <row r="2447" spans="1:14" ht="30" hidden="1">
      <c r="A2447" s="281" t="s">
        <v>401</v>
      </c>
      <c r="B2447" s="282" t="s">
        <v>402</v>
      </c>
      <c r="C2447" s="281">
        <v>11</v>
      </c>
      <c r="D2447" s="281" t="s">
        <v>100</v>
      </c>
      <c r="E2447" s="255" t="s">
        <v>84</v>
      </c>
      <c r="L2447" s="264">
        <v>425303.37611385173</v>
      </c>
      <c r="M2447" s="264">
        <v>426804.40411005146</v>
      </c>
      <c r="N2447" s="264">
        <v>428311.91273234843</v>
      </c>
    </row>
    <row r="2448" spans="1:14" hidden="1">
      <c r="A2448" s="281"/>
      <c r="B2448" s="282"/>
      <c r="C2448" s="281"/>
      <c r="D2448" s="281"/>
      <c r="E2448" s="255" t="s">
        <v>226</v>
      </c>
      <c r="L2448" s="264">
        <v>24325.905653039339</v>
      </c>
      <c r="M2448" s="264">
        <v>24441.501576135313</v>
      </c>
      <c r="N2448" s="264">
        <v>24557.639758778038</v>
      </c>
    </row>
    <row r="2449" spans="1:14" ht="30" hidden="1">
      <c r="A2449" s="281" t="s">
        <v>365</v>
      </c>
      <c r="B2449" s="282" t="s">
        <v>366</v>
      </c>
      <c r="C2449" s="281">
        <v>11</v>
      </c>
      <c r="D2449" s="281" t="s">
        <v>100</v>
      </c>
      <c r="E2449" s="255" t="s">
        <v>226</v>
      </c>
      <c r="L2449" s="264">
        <v>138252.61385432974</v>
      </c>
      <c r="M2449" s="264">
        <v>138252.61385432974</v>
      </c>
      <c r="N2449" s="264">
        <v>138252.61385432974</v>
      </c>
    </row>
    <row r="2450" spans="1:14" hidden="1">
      <c r="A2450" s="281"/>
      <c r="B2450" s="282"/>
      <c r="C2450" s="281"/>
      <c r="D2450" s="281"/>
      <c r="E2450" s="255" t="s">
        <v>192</v>
      </c>
      <c r="L2450" s="264">
        <v>1095.5263136237973</v>
      </c>
      <c r="M2450" s="264">
        <v>1095.5263136237973</v>
      </c>
      <c r="N2450" s="264">
        <v>1095.5263136237973</v>
      </c>
    </row>
    <row r="2451" spans="1:14" hidden="1">
      <c r="A2451" s="281"/>
      <c r="B2451" s="282"/>
      <c r="C2451" s="281"/>
      <c r="D2451" s="281"/>
      <c r="E2451" s="255" t="s">
        <v>367</v>
      </c>
      <c r="L2451" s="264">
        <v>0</v>
      </c>
      <c r="M2451" s="264">
        <v>0</v>
      </c>
      <c r="N2451" s="264">
        <v>0</v>
      </c>
    </row>
    <row r="2452" spans="1:14" ht="45" hidden="1">
      <c r="A2452" s="281" t="s">
        <v>405</v>
      </c>
      <c r="B2452" s="282" t="s">
        <v>406</v>
      </c>
      <c r="C2452" s="281">
        <v>31</v>
      </c>
      <c r="D2452" s="281" t="s">
        <v>333</v>
      </c>
      <c r="E2452" s="255" t="s">
        <v>84</v>
      </c>
      <c r="L2452" s="264">
        <v>27456</v>
      </c>
      <c r="M2452" s="264">
        <v>21899</v>
      </c>
      <c r="N2452" s="264">
        <v>21899</v>
      </c>
    </row>
    <row r="2453" spans="1:14" hidden="1">
      <c r="A2453" s="281"/>
      <c r="B2453" s="282"/>
      <c r="C2453" s="281"/>
      <c r="D2453" s="281"/>
      <c r="E2453" s="255" t="s">
        <v>226</v>
      </c>
      <c r="L2453" s="264">
        <v>68485</v>
      </c>
      <c r="M2453" s="264">
        <v>86271</v>
      </c>
      <c r="N2453" s="264">
        <v>87597</v>
      </c>
    </row>
    <row r="2454" spans="1:14" hidden="1">
      <c r="A2454" s="281"/>
      <c r="B2454" s="282"/>
      <c r="C2454" s="281"/>
      <c r="D2454" s="281"/>
      <c r="E2454" s="255" t="s">
        <v>192</v>
      </c>
      <c r="L2454" s="264">
        <v>16873</v>
      </c>
      <c r="M2454" s="264">
        <v>663</v>
      </c>
      <c r="N2454" s="264">
        <v>663</v>
      </c>
    </row>
    <row r="2455" spans="1:14" hidden="1">
      <c r="A2455" s="281"/>
      <c r="B2455" s="282"/>
      <c r="C2455" s="281"/>
      <c r="D2455" s="281"/>
      <c r="E2455" s="255" t="s">
        <v>367</v>
      </c>
      <c r="L2455" s="264"/>
      <c r="M2455" s="264">
        <v>3982</v>
      </c>
      <c r="N2455" s="264">
        <v>2654</v>
      </c>
    </row>
    <row r="2456" spans="1:14" hidden="1">
      <c r="A2456" s="281"/>
      <c r="B2456" s="282"/>
      <c r="C2456" s="281">
        <v>52</v>
      </c>
      <c r="D2456" s="281" t="s">
        <v>69</v>
      </c>
      <c r="E2456" s="255" t="s">
        <v>226</v>
      </c>
      <c r="L2456" s="264">
        <v>247311</v>
      </c>
      <c r="M2456" s="264">
        <v>71670</v>
      </c>
      <c r="N2456" s="264">
        <v>71670</v>
      </c>
    </row>
    <row r="2457" spans="1:14" hidden="1">
      <c r="A2457" s="281"/>
      <c r="B2457" s="282"/>
      <c r="C2457" s="281"/>
      <c r="D2457" s="281"/>
      <c r="E2457" s="255" t="s">
        <v>367</v>
      </c>
      <c r="L2457" s="264">
        <v>5309</v>
      </c>
      <c r="M2457" s="264">
        <v>7963</v>
      </c>
      <c r="N2457" s="264">
        <v>7963</v>
      </c>
    </row>
    <row r="2458" spans="1:14" hidden="1">
      <c r="A2458" s="281"/>
      <c r="B2458" s="282"/>
      <c r="C2458" s="281">
        <v>61</v>
      </c>
      <c r="D2458" s="281" t="s">
        <v>276</v>
      </c>
      <c r="E2458" s="255" t="s">
        <v>226</v>
      </c>
      <c r="L2458" s="264"/>
      <c r="M2458" s="264">
        <v>5308</v>
      </c>
      <c r="N2458" s="264">
        <v>5308</v>
      </c>
    </row>
    <row r="2459" spans="1:14" hidden="1">
      <c r="A2459" s="281"/>
      <c r="B2459" s="282"/>
      <c r="C2459" s="281"/>
      <c r="D2459" s="281"/>
      <c r="E2459" s="255" t="s">
        <v>367</v>
      </c>
      <c r="L2459" s="264"/>
      <c r="M2459" s="264">
        <v>1327</v>
      </c>
      <c r="N2459" s="264">
        <v>1327</v>
      </c>
    </row>
    <row r="2460" spans="1:14" ht="30" hidden="1">
      <c r="A2460" s="281" t="s">
        <v>363</v>
      </c>
      <c r="B2460" s="282" t="s">
        <v>364</v>
      </c>
      <c r="C2460" s="281">
        <v>11</v>
      </c>
      <c r="D2460" s="281" t="s">
        <v>100</v>
      </c>
      <c r="E2460" s="255" t="s">
        <v>84</v>
      </c>
      <c r="L2460" s="264">
        <v>4180780.5785981952</v>
      </c>
      <c r="M2460" s="264">
        <v>4200638.0308625074</v>
      </c>
      <c r="N2460" s="264">
        <v>4220597.2085362319</v>
      </c>
    </row>
    <row r="2461" spans="1:14" hidden="1">
      <c r="A2461" s="281"/>
      <c r="B2461" s="282"/>
      <c r="C2461" s="281"/>
      <c r="D2461" s="281"/>
      <c r="E2461" s="255" t="s">
        <v>226</v>
      </c>
      <c r="L2461" s="264">
        <v>104680.07595156468</v>
      </c>
      <c r="M2461" s="264">
        <v>105177.27487701744</v>
      </c>
      <c r="N2461" s="264">
        <v>105677.020844436</v>
      </c>
    </row>
    <row r="2462" spans="1:14" ht="30" hidden="1">
      <c r="A2462" s="281" t="s">
        <v>381</v>
      </c>
      <c r="B2462" s="282" t="s">
        <v>382</v>
      </c>
      <c r="C2462" s="281">
        <v>11</v>
      </c>
      <c r="D2462" s="281" t="s">
        <v>100</v>
      </c>
      <c r="E2462" s="255" t="s">
        <v>226</v>
      </c>
      <c r="L2462" s="264">
        <v>6984</v>
      </c>
      <c r="M2462" s="264">
        <v>6984</v>
      </c>
      <c r="N2462" s="264">
        <v>6984</v>
      </c>
    </row>
    <row r="2463" spans="1:14" ht="30" hidden="1">
      <c r="A2463" s="281" t="s">
        <v>365</v>
      </c>
      <c r="B2463" s="282" t="s">
        <v>366</v>
      </c>
      <c r="C2463" s="281">
        <v>11</v>
      </c>
      <c r="D2463" s="281" t="s">
        <v>100</v>
      </c>
      <c r="E2463" s="255" t="s">
        <v>84</v>
      </c>
      <c r="L2463" s="264">
        <v>45261.592525595872</v>
      </c>
      <c r="M2463" s="264">
        <v>45261.592525595872</v>
      </c>
      <c r="N2463" s="264">
        <v>45261.592525595872</v>
      </c>
    </row>
    <row r="2464" spans="1:14" hidden="1">
      <c r="A2464" s="281"/>
      <c r="B2464" s="282"/>
      <c r="C2464" s="281"/>
      <c r="D2464" s="281"/>
      <c r="E2464" s="255" t="s">
        <v>226</v>
      </c>
      <c r="L2464" s="264">
        <v>376655.14408917859</v>
      </c>
      <c r="M2464" s="264">
        <v>376655.14408917859</v>
      </c>
      <c r="N2464" s="264">
        <v>376655.14408917859</v>
      </c>
    </row>
    <row r="2465" spans="1:14" hidden="1">
      <c r="A2465" s="281"/>
      <c r="B2465" s="282"/>
      <c r="C2465" s="281"/>
      <c r="D2465" s="281"/>
      <c r="E2465" s="255" t="s">
        <v>192</v>
      </c>
      <c r="L2465" s="264">
        <v>1689.96205858556</v>
      </c>
      <c r="M2465" s="264">
        <v>1689.96205858556</v>
      </c>
      <c r="N2465" s="264">
        <v>1689.96205858556</v>
      </c>
    </row>
    <row r="2466" spans="1:14" hidden="1">
      <c r="A2466" s="281"/>
      <c r="B2466" s="282"/>
      <c r="C2466" s="281"/>
      <c r="D2466" s="281"/>
      <c r="E2466" s="255" t="s">
        <v>209</v>
      </c>
      <c r="L2466" s="264">
        <v>5308.4787673205428</v>
      </c>
      <c r="M2466" s="264">
        <v>5308.4787673205428</v>
      </c>
      <c r="N2466" s="264">
        <v>5308.4787673205428</v>
      </c>
    </row>
    <row r="2467" spans="1:14" hidden="1">
      <c r="A2467" s="281"/>
      <c r="B2467" s="282"/>
      <c r="C2467" s="281"/>
      <c r="D2467" s="281"/>
      <c r="E2467" s="255" t="s">
        <v>367</v>
      </c>
      <c r="L2467" s="264">
        <v>24087.944789130866</v>
      </c>
      <c r="M2467" s="264">
        <v>24087.944789130866</v>
      </c>
      <c r="N2467" s="264">
        <v>24087.944789130866</v>
      </c>
    </row>
    <row r="2468" spans="1:14" ht="30" hidden="1">
      <c r="A2468" s="281" t="s">
        <v>370</v>
      </c>
      <c r="B2468" s="282" t="s">
        <v>371</v>
      </c>
      <c r="C2468" s="281">
        <v>31</v>
      </c>
      <c r="D2468" s="281" t="s">
        <v>333</v>
      </c>
      <c r="E2468" s="255" t="s">
        <v>84</v>
      </c>
      <c r="L2468" s="264">
        <v>14142</v>
      </c>
      <c r="M2468" s="264">
        <v>14849</v>
      </c>
      <c r="N2468" s="264">
        <v>16334</v>
      </c>
    </row>
    <row r="2469" spans="1:14" hidden="1">
      <c r="A2469" s="281"/>
      <c r="B2469" s="282"/>
      <c r="C2469" s="281"/>
      <c r="D2469" s="281"/>
      <c r="E2469" s="255" t="s">
        <v>226</v>
      </c>
      <c r="L2469" s="264">
        <v>13371</v>
      </c>
      <c r="M2469" s="264">
        <v>14038</v>
      </c>
      <c r="N2469" s="264">
        <v>15444</v>
      </c>
    </row>
    <row r="2470" spans="1:14" hidden="1">
      <c r="A2470" s="281"/>
      <c r="B2470" s="282"/>
      <c r="C2470" s="281">
        <v>43</v>
      </c>
      <c r="D2470" s="281" t="s">
        <v>104</v>
      </c>
      <c r="E2470" s="255" t="s">
        <v>84</v>
      </c>
      <c r="L2470" s="264">
        <v>306071</v>
      </c>
      <c r="M2470" s="264">
        <v>321374</v>
      </c>
      <c r="N2470" s="264">
        <v>353512</v>
      </c>
    </row>
    <row r="2471" spans="1:14" hidden="1">
      <c r="A2471" s="281"/>
      <c r="B2471" s="282"/>
      <c r="C2471" s="281"/>
      <c r="D2471" s="281"/>
      <c r="E2471" s="255" t="s">
        <v>226</v>
      </c>
      <c r="L2471" s="264">
        <v>68997</v>
      </c>
      <c r="M2471" s="264">
        <v>72447</v>
      </c>
      <c r="N2471" s="264">
        <v>79693</v>
      </c>
    </row>
    <row r="2472" spans="1:14" hidden="1">
      <c r="A2472" s="281"/>
      <c r="B2472" s="282"/>
      <c r="C2472" s="281"/>
      <c r="D2472" s="281"/>
      <c r="E2472" s="255" t="s">
        <v>192</v>
      </c>
      <c r="L2472" s="264">
        <v>361</v>
      </c>
      <c r="M2472" s="264">
        <v>378</v>
      </c>
      <c r="N2472" s="264">
        <v>416</v>
      </c>
    </row>
    <row r="2473" spans="1:14" hidden="1">
      <c r="A2473" s="281"/>
      <c r="B2473" s="282"/>
      <c r="C2473" s="281"/>
      <c r="D2473" s="281"/>
      <c r="E2473" s="255" t="s">
        <v>209</v>
      </c>
      <c r="L2473" s="264">
        <v>8839</v>
      </c>
      <c r="M2473" s="264">
        <v>9281</v>
      </c>
      <c r="N2473" s="264">
        <v>10209</v>
      </c>
    </row>
    <row r="2474" spans="1:14" hidden="1">
      <c r="A2474" s="281"/>
      <c r="B2474" s="282"/>
      <c r="C2474" s="281"/>
      <c r="D2474" s="281"/>
      <c r="E2474" s="255" t="s">
        <v>367</v>
      </c>
      <c r="L2474" s="264">
        <v>1970</v>
      </c>
      <c r="M2474" s="264">
        <v>2069</v>
      </c>
      <c r="N2474" s="264">
        <v>2276</v>
      </c>
    </row>
    <row r="2475" spans="1:14" hidden="1">
      <c r="A2475" s="281"/>
      <c r="B2475" s="282"/>
      <c r="C2475" s="281">
        <v>52</v>
      </c>
      <c r="D2475" s="281" t="s">
        <v>69</v>
      </c>
      <c r="E2475" s="255" t="s">
        <v>84</v>
      </c>
      <c r="L2475" s="264">
        <v>1839</v>
      </c>
      <c r="M2475" s="264">
        <v>1931</v>
      </c>
      <c r="N2475" s="264">
        <v>2125</v>
      </c>
    </row>
    <row r="2476" spans="1:14" hidden="1">
      <c r="A2476" s="281"/>
      <c r="B2476" s="282"/>
      <c r="C2476" s="281"/>
      <c r="D2476" s="281"/>
      <c r="E2476" s="255" t="s">
        <v>226</v>
      </c>
      <c r="L2476" s="264">
        <v>30767</v>
      </c>
      <c r="M2476" s="264">
        <v>32304</v>
      </c>
      <c r="N2476" s="264">
        <v>35535</v>
      </c>
    </row>
    <row r="2477" spans="1:14" hidden="1">
      <c r="A2477" s="281"/>
      <c r="B2477" s="282"/>
      <c r="C2477" s="281"/>
      <c r="D2477" s="281"/>
      <c r="E2477" s="255" t="s">
        <v>192</v>
      </c>
      <c r="L2477" s="264">
        <v>1398</v>
      </c>
      <c r="M2477" s="264">
        <v>1468</v>
      </c>
      <c r="N2477" s="264">
        <v>1615</v>
      </c>
    </row>
    <row r="2478" spans="1:14" hidden="1">
      <c r="A2478" s="281"/>
      <c r="B2478" s="282"/>
      <c r="C2478" s="281"/>
      <c r="D2478" s="281"/>
      <c r="E2478" s="255" t="s">
        <v>367</v>
      </c>
      <c r="L2478" s="264">
        <v>578</v>
      </c>
      <c r="M2478" s="264">
        <v>606</v>
      </c>
      <c r="N2478" s="264">
        <v>669</v>
      </c>
    </row>
    <row r="2479" spans="1:14" hidden="1">
      <c r="A2479" s="281"/>
      <c r="B2479" s="282"/>
      <c r="C2479" s="281">
        <v>61</v>
      </c>
      <c r="D2479" s="281" t="s">
        <v>276</v>
      </c>
      <c r="E2479" s="255" t="s">
        <v>84</v>
      </c>
      <c r="L2479" s="264">
        <v>20206</v>
      </c>
      <c r="M2479" s="264">
        <v>21216</v>
      </c>
      <c r="N2479" s="264">
        <v>23337</v>
      </c>
    </row>
    <row r="2480" spans="1:14" hidden="1">
      <c r="A2480" s="281"/>
      <c r="B2480" s="282"/>
      <c r="C2480" s="281"/>
      <c r="D2480" s="281"/>
      <c r="E2480" s="255" t="s">
        <v>226</v>
      </c>
      <c r="L2480" s="264">
        <v>2248</v>
      </c>
      <c r="M2480" s="264">
        <v>2360</v>
      </c>
      <c r="N2480" s="264">
        <v>2596</v>
      </c>
    </row>
    <row r="2481" spans="1:14" hidden="1">
      <c r="A2481" s="281" t="s">
        <v>383</v>
      </c>
      <c r="B2481" s="282" t="s">
        <v>384</v>
      </c>
      <c r="C2481" s="281">
        <v>11</v>
      </c>
      <c r="D2481" s="281" t="s">
        <v>100</v>
      </c>
      <c r="E2481" s="255" t="s">
        <v>84</v>
      </c>
      <c r="L2481" s="264">
        <v>22352.646250000002</v>
      </c>
      <c r="M2481" s="264">
        <v>22352.646250000002</v>
      </c>
      <c r="N2481" s="264">
        <v>22352.646250000002</v>
      </c>
    </row>
    <row r="2482" spans="1:14" hidden="1">
      <c r="A2482" s="281"/>
      <c r="B2482" s="282"/>
      <c r="C2482" s="281"/>
      <c r="D2482" s="281"/>
      <c r="E2482" s="255" t="s">
        <v>226</v>
      </c>
      <c r="L2482" s="264">
        <v>9062.0066368000007</v>
      </c>
      <c r="M2482" s="264">
        <v>9062.0066368000007</v>
      </c>
      <c r="N2482" s="264">
        <v>9062.0066368000007</v>
      </c>
    </row>
    <row r="2483" spans="1:14" hidden="1">
      <c r="A2483" s="281"/>
      <c r="B2483" s="282"/>
      <c r="C2483" s="281"/>
      <c r="D2483" s="281"/>
      <c r="E2483" s="255" t="s">
        <v>192</v>
      </c>
      <c r="L2483" s="264">
        <v>8199.1132092000007</v>
      </c>
      <c r="M2483" s="264">
        <v>8199.1132092000007</v>
      </c>
      <c r="N2483" s="264">
        <v>8199.1132092000007</v>
      </c>
    </row>
    <row r="2484" spans="1:14" ht="30" hidden="1">
      <c r="A2484" s="281" t="s">
        <v>365</v>
      </c>
      <c r="B2484" s="282" t="s">
        <v>366</v>
      </c>
      <c r="C2484" s="281">
        <v>11</v>
      </c>
      <c r="D2484" s="281" t="s">
        <v>100</v>
      </c>
      <c r="E2484" s="255" t="s">
        <v>84</v>
      </c>
      <c r="L2484" s="264">
        <v>127105.66139125082</v>
      </c>
      <c r="M2484" s="264">
        <v>127105.66139125082</v>
      </c>
      <c r="N2484" s="264">
        <v>127105.66139125082</v>
      </c>
    </row>
    <row r="2485" spans="1:14" hidden="1">
      <c r="A2485" s="281"/>
      <c r="B2485" s="282"/>
      <c r="C2485" s="281"/>
      <c r="D2485" s="281"/>
      <c r="E2485" s="255" t="s">
        <v>226</v>
      </c>
      <c r="L2485" s="264">
        <v>453851.7259178136</v>
      </c>
      <c r="M2485" s="264">
        <v>453851.7259178136</v>
      </c>
      <c r="N2485" s="264">
        <v>453851.7259178136</v>
      </c>
    </row>
    <row r="2486" spans="1:14" hidden="1">
      <c r="A2486" s="281"/>
      <c r="B2486" s="282"/>
      <c r="C2486" s="281"/>
      <c r="D2486" s="281"/>
      <c r="E2486" s="255" t="s">
        <v>192</v>
      </c>
      <c r="L2486" s="264">
        <v>3287.4644785946957</v>
      </c>
      <c r="M2486" s="264">
        <v>3287.4644785946957</v>
      </c>
      <c r="N2486" s="264">
        <v>3287.4644785946957</v>
      </c>
    </row>
    <row r="2487" spans="1:14" hidden="1">
      <c r="A2487" s="281"/>
      <c r="B2487" s="282"/>
      <c r="C2487" s="281"/>
      <c r="D2487" s="281"/>
      <c r="E2487" s="255" t="s">
        <v>367</v>
      </c>
      <c r="L2487" s="264">
        <v>116728.9308459327</v>
      </c>
      <c r="M2487" s="264">
        <v>116728.9308459327</v>
      </c>
      <c r="N2487" s="264">
        <v>116728.9308459327</v>
      </c>
    </row>
    <row r="2488" spans="1:14" ht="30" hidden="1">
      <c r="A2488" s="281" t="s">
        <v>456</v>
      </c>
      <c r="B2488" s="282" t="s">
        <v>457</v>
      </c>
      <c r="C2488" s="281">
        <v>11</v>
      </c>
      <c r="D2488" s="281" t="s">
        <v>100</v>
      </c>
      <c r="E2488" s="255" t="s">
        <v>84</v>
      </c>
      <c r="L2488" s="264">
        <v>3941182.8415571945</v>
      </c>
      <c r="M2488" s="264">
        <v>3960271.8415571973</v>
      </c>
      <c r="N2488" s="264">
        <v>3979449.8415571973</v>
      </c>
    </row>
    <row r="2489" spans="1:14" hidden="1">
      <c r="A2489" s="281"/>
      <c r="B2489" s="282"/>
      <c r="C2489" s="281"/>
      <c r="D2489" s="281"/>
      <c r="E2489" s="255" t="s">
        <v>226</v>
      </c>
      <c r="L2489" s="264">
        <v>90846.15844280523</v>
      </c>
      <c r="M2489" s="264">
        <v>90846.15844280523</v>
      </c>
      <c r="N2489" s="264">
        <v>90846.15844280523</v>
      </c>
    </row>
    <row r="2490" spans="1:14" ht="45" hidden="1">
      <c r="A2490" s="281" t="s">
        <v>458</v>
      </c>
      <c r="B2490" s="282" t="s">
        <v>459</v>
      </c>
      <c r="C2490" s="281">
        <v>31</v>
      </c>
      <c r="D2490" s="281" t="s">
        <v>333</v>
      </c>
      <c r="E2490" s="255" t="s">
        <v>84</v>
      </c>
      <c r="L2490" s="264">
        <v>74458</v>
      </c>
      <c r="M2490" s="264">
        <v>75951</v>
      </c>
      <c r="N2490" s="264">
        <v>76735</v>
      </c>
    </row>
    <row r="2491" spans="1:14" hidden="1">
      <c r="A2491" s="281"/>
      <c r="B2491" s="282"/>
      <c r="C2491" s="281"/>
      <c r="D2491" s="281"/>
      <c r="E2491" s="255" t="s">
        <v>226</v>
      </c>
      <c r="L2491" s="264">
        <v>61917</v>
      </c>
      <c r="M2491" s="264">
        <v>63235</v>
      </c>
      <c r="N2491" s="264">
        <v>63785</v>
      </c>
    </row>
    <row r="2492" spans="1:14" hidden="1">
      <c r="A2492" s="281"/>
      <c r="B2492" s="282"/>
      <c r="C2492" s="281"/>
      <c r="D2492" s="281"/>
      <c r="E2492" s="255" t="s">
        <v>192</v>
      </c>
      <c r="L2492" s="264">
        <v>1726</v>
      </c>
      <c r="M2492" s="264">
        <v>1761</v>
      </c>
      <c r="N2492" s="264">
        <v>1779</v>
      </c>
    </row>
    <row r="2493" spans="1:14" hidden="1">
      <c r="A2493" s="281"/>
      <c r="B2493" s="282"/>
      <c r="C2493" s="281"/>
      <c r="D2493" s="281"/>
      <c r="E2493" s="255" t="s">
        <v>367</v>
      </c>
      <c r="L2493" s="264">
        <v>3982</v>
      </c>
      <c r="M2493" s="264">
        <v>4060</v>
      </c>
      <c r="N2493" s="264">
        <v>4100</v>
      </c>
    </row>
    <row r="2494" spans="1:14" hidden="1">
      <c r="A2494" s="281"/>
      <c r="B2494" s="282"/>
      <c r="C2494" s="281">
        <v>43</v>
      </c>
      <c r="D2494" s="281" t="s">
        <v>104</v>
      </c>
      <c r="E2494" s="255" t="s">
        <v>84</v>
      </c>
      <c r="L2494" s="264">
        <v>554291</v>
      </c>
      <c r="M2494" s="264">
        <v>597459</v>
      </c>
      <c r="N2494" s="264">
        <v>612043</v>
      </c>
    </row>
    <row r="2495" spans="1:14" hidden="1">
      <c r="A2495" s="281"/>
      <c r="B2495" s="282"/>
      <c r="C2495" s="281"/>
      <c r="D2495" s="281"/>
      <c r="E2495" s="255" t="s">
        <v>226</v>
      </c>
      <c r="L2495" s="264">
        <v>321866</v>
      </c>
      <c r="M2495" s="264">
        <v>330895</v>
      </c>
      <c r="N2495" s="264">
        <v>333625</v>
      </c>
    </row>
    <row r="2496" spans="1:14" hidden="1">
      <c r="A2496" s="281"/>
      <c r="B2496" s="282"/>
      <c r="C2496" s="281"/>
      <c r="D2496" s="281"/>
      <c r="E2496" s="255" t="s">
        <v>192</v>
      </c>
      <c r="L2496" s="264">
        <v>8627</v>
      </c>
      <c r="M2496" s="264">
        <v>8800</v>
      </c>
      <c r="N2496" s="264">
        <v>8888</v>
      </c>
    </row>
    <row r="2497" spans="1:14" hidden="1">
      <c r="A2497" s="281"/>
      <c r="B2497" s="282"/>
      <c r="C2497" s="281"/>
      <c r="D2497" s="281"/>
      <c r="E2497" s="255" t="s">
        <v>209</v>
      </c>
      <c r="L2497" s="264">
        <v>9291</v>
      </c>
      <c r="M2497" s="264">
        <v>9477</v>
      </c>
      <c r="N2497" s="264">
        <v>9572</v>
      </c>
    </row>
    <row r="2498" spans="1:14" hidden="1">
      <c r="A2498" s="281"/>
      <c r="B2498" s="282"/>
      <c r="C2498" s="281"/>
      <c r="D2498" s="281"/>
      <c r="E2498" s="255" t="s">
        <v>215</v>
      </c>
      <c r="L2498" s="264">
        <v>1991</v>
      </c>
      <c r="M2498" s="264">
        <v>2031</v>
      </c>
      <c r="N2498" s="264">
        <v>2051</v>
      </c>
    </row>
    <row r="2499" spans="1:14" hidden="1">
      <c r="A2499" s="281"/>
      <c r="B2499" s="282"/>
      <c r="C2499" s="281"/>
      <c r="D2499" s="281"/>
      <c r="E2499" s="255" t="s">
        <v>283</v>
      </c>
      <c r="L2499" s="264">
        <v>199084</v>
      </c>
      <c r="M2499" s="264">
        <v>0</v>
      </c>
      <c r="N2499" s="264">
        <v>0</v>
      </c>
    </row>
    <row r="2500" spans="1:14" hidden="1">
      <c r="A2500" s="281"/>
      <c r="B2500" s="282"/>
      <c r="C2500" s="281"/>
      <c r="D2500" s="281"/>
      <c r="E2500" s="255" t="s">
        <v>367</v>
      </c>
      <c r="L2500" s="264">
        <v>161259</v>
      </c>
      <c r="M2500" s="264">
        <v>235155</v>
      </c>
      <c r="N2500" s="264">
        <v>237255</v>
      </c>
    </row>
    <row r="2501" spans="1:14" hidden="1">
      <c r="A2501" s="281"/>
      <c r="B2501" s="282"/>
      <c r="C2501" s="281"/>
      <c r="D2501" s="281"/>
      <c r="E2501" s="255" t="s">
        <v>322</v>
      </c>
      <c r="L2501" s="264">
        <v>13272</v>
      </c>
      <c r="M2501" s="264">
        <v>25000</v>
      </c>
      <c r="N2501" s="264">
        <v>30000</v>
      </c>
    </row>
    <row r="2502" spans="1:14" hidden="1">
      <c r="A2502" s="281"/>
      <c r="B2502" s="282"/>
      <c r="C2502" s="281">
        <v>52</v>
      </c>
      <c r="D2502" s="281" t="s">
        <v>69</v>
      </c>
      <c r="E2502" s="255" t="s">
        <v>209</v>
      </c>
      <c r="L2502" s="264">
        <v>69016</v>
      </c>
      <c r="M2502" s="264">
        <v>69016</v>
      </c>
      <c r="N2502" s="264">
        <v>69016</v>
      </c>
    </row>
    <row r="2503" spans="1:14" hidden="1">
      <c r="A2503" s="281"/>
      <c r="B2503" s="282"/>
      <c r="C2503" s="281"/>
      <c r="D2503" s="281"/>
      <c r="E2503" s="255" t="s">
        <v>367</v>
      </c>
      <c r="L2503" s="264">
        <v>21235</v>
      </c>
      <c r="M2503" s="264">
        <v>0</v>
      </c>
      <c r="N2503" s="264">
        <v>0</v>
      </c>
    </row>
    <row r="2504" spans="1:14" ht="45" hidden="1">
      <c r="A2504" s="281" t="s">
        <v>460</v>
      </c>
      <c r="B2504" s="282" t="s">
        <v>461</v>
      </c>
      <c r="C2504" s="281">
        <v>52</v>
      </c>
      <c r="D2504" s="281" t="s">
        <v>69</v>
      </c>
      <c r="E2504" s="255" t="s">
        <v>226</v>
      </c>
      <c r="L2504" s="264">
        <v>42143</v>
      </c>
      <c r="M2504" s="264">
        <v>10564</v>
      </c>
      <c r="N2504" s="264">
        <v>0</v>
      </c>
    </row>
    <row r="2505" spans="1:14" hidden="1">
      <c r="A2505" s="281"/>
      <c r="B2505" s="282"/>
      <c r="C2505" s="281">
        <v>61</v>
      </c>
      <c r="D2505" s="281" t="s">
        <v>276</v>
      </c>
      <c r="E2505" s="255" t="s">
        <v>84</v>
      </c>
      <c r="L2505" s="264">
        <v>59886</v>
      </c>
      <c r="M2505" s="264">
        <v>0</v>
      </c>
      <c r="N2505" s="264">
        <v>0</v>
      </c>
    </row>
    <row r="2506" spans="1:14" hidden="1">
      <c r="A2506" s="281"/>
      <c r="B2506" s="282"/>
      <c r="C2506" s="281"/>
      <c r="D2506" s="281"/>
      <c r="E2506" s="255" t="s">
        <v>226</v>
      </c>
      <c r="L2506" s="264">
        <v>73148</v>
      </c>
      <c r="M2506" s="264">
        <v>0</v>
      </c>
      <c r="N2506" s="264">
        <v>0</v>
      </c>
    </row>
    <row r="2507" spans="1:14" ht="30" hidden="1">
      <c r="A2507" s="281" t="s">
        <v>419</v>
      </c>
      <c r="B2507" s="282" t="s">
        <v>420</v>
      </c>
      <c r="C2507" s="281">
        <v>11</v>
      </c>
      <c r="D2507" s="281" t="s">
        <v>100</v>
      </c>
      <c r="E2507" s="255" t="s">
        <v>84</v>
      </c>
      <c r="L2507" s="264">
        <v>959364.44935210643</v>
      </c>
      <c r="M2507" s="264">
        <v>963923.3184314355</v>
      </c>
      <c r="N2507" s="264">
        <v>968503.5731289977</v>
      </c>
    </row>
    <row r="2508" spans="1:14" hidden="1">
      <c r="A2508" s="281"/>
      <c r="B2508" s="282"/>
      <c r="C2508" s="281"/>
      <c r="D2508" s="281"/>
      <c r="E2508" s="255" t="s">
        <v>226</v>
      </c>
      <c r="L2508" s="264">
        <v>28635.592068257363</v>
      </c>
      <c r="M2508" s="264">
        <v>28771.667482909659</v>
      </c>
      <c r="N2508" s="264">
        <v>28908.3812262391</v>
      </c>
    </row>
    <row r="2509" spans="1:14" ht="30" hidden="1">
      <c r="A2509" s="281" t="s">
        <v>381</v>
      </c>
      <c r="B2509" s="282" t="s">
        <v>382</v>
      </c>
      <c r="C2509" s="281">
        <v>11</v>
      </c>
      <c r="D2509" s="281" t="s">
        <v>100</v>
      </c>
      <c r="E2509" s="255" t="s">
        <v>226</v>
      </c>
      <c r="L2509" s="264">
        <v>340</v>
      </c>
      <c r="M2509" s="264">
        <v>340</v>
      </c>
      <c r="N2509" s="264">
        <v>340</v>
      </c>
    </row>
    <row r="2510" spans="1:14" ht="30" hidden="1">
      <c r="A2510" s="281" t="s">
        <v>365</v>
      </c>
      <c r="B2510" s="282" t="s">
        <v>366</v>
      </c>
      <c r="C2510" s="281">
        <v>11</v>
      </c>
      <c r="D2510" s="281" t="s">
        <v>100</v>
      </c>
      <c r="E2510" s="255" t="s">
        <v>84</v>
      </c>
      <c r="L2510" s="264">
        <v>2552.6976973424385</v>
      </c>
      <c r="M2510" s="264">
        <v>2552.6976973424385</v>
      </c>
      <c r="N2510" s="264">
        <v>2552.6976973424385</v>
      </c>
    </row>
    <row r="2511" spans="1:14" hidden="1">
      <c r="A2511" s="281"/>
      <c r="B2511" s="282"/>
      <c r="C2511" s="281"/>
      <c r="D2511" s="281"/>
      <c r="E2511" s="255" t="s">
        <v>226</v>
      </c>
      <c r="L2511" s="264">
        <v>108544.14050963597</v>
      </c>
      <c r="M2511" s="264">
        <v>108544.14050963597</v>
      </c>
      <c r="N2511" s="264">
        <v>108544.14050963597</v>
      </c>
    </row>
    <row r="2512" spans="1:14" hidden="1">
      <c r="A2512" s="281"/>
      <c r="B2512" s="282"/>
      <c r="C2512" s="281"/>
      <c r="D2512" s="281"/>
      <c r="E2512" s="255" t="s">
        <v>192</v>
      </c>
      <c r="L2512" s="264">
        <v>1267.2674532408289</v>
      </c>
      <c r="M2512" s="264">
        <v>1267.2674532408289</v>
      </c>
      <c r="N2512" s="264">
        <v>1267.2674532408289</v>
      </c>
    </row>
    <row r="2513" spans="1:14" hidden="1">
      <c r="A2513" s="281"/>
      <c r="B2513" s="282"/>
      <c r="C2513" s="281"/>
      <c r="D2513" s="281"/>
      <c r="E2513" s="255" t="s">
        <v>367</v>
      </c>
      <c r="L2513" s="264">
        <v>4382.1860858647033</v>
      </c>
      <c r="M2513" s="264">
        <v>4382.1860858647033</v>
      </c>
      <c r="N2513" s="264">
        <v>4382.1860858647033</v>
      </c>
    </row>
    <row r="2514" spans="1:14" ht="30" hidden="1">
      <c r="A2514" s="281" t="s">
        <v>421</v>
      </c>
      <c r="B2514" s="282" t="s">
        <v>422</v>
      </c>
      <c r="C2514" s="281">
        <v>31</v>
      </c>
      <c r="D2514" s="281" t="s">
        <v>333</v>
      </c>
      <c r="E2514" s="255" t="s">
        <v>192</v>
      </c>
      <c r="L2514" s="264">
        <v>66</v>
      </c>
      <c r="M2514" s="264">
        <v>66</v>
      </c>
      <c r="N2514" s="264">
        <v>66</v>
      </c>
    </row>
    <row r="2515" spans="1:14" hidden="1">
      <c r="A2515" s="281"/>
      <c r="B2515" s="282"/>
      <c r="C2515" s="281">
        <v>43</v>
      </c>
      <c r="D2515" s="281" t="s">
        <v>104</v>
      </c>
      <c r="E2515" s="255" t="s">
        <v>84</v>
      </c>
      <c r="L2515" s="264">
        <v>20638</v>
      </c>
      <c r="M2515" s="264">
        <v>21072</v>
      </c>
      <c r="N2515" s="264">
        <v>21235</v>
      </c>
    </row>
    <row r="2516" spans="1:14" hidden="1">
      <c r="A2516" s="281"/>
      <c r="B2516" s="282"/>
      <c r="C2516" s="281"/>
      <c r="D2516" s="281"/>
      <c r="E2516" s="255" t="s">
        <v>226</v>
      </c>
      <c r="L2516" s="264">
        <v>61213</v>
      </c>
      <c r="M2516" s="264">
        <v>62508</v>
      </c>
      <c r="N2516" s="264">
        <v>63002</v>
      </c>
    </row>
    <row r="2517" spans="1:14" hidden="1">
      <c r="A2517" s="281"/>
      <c r="B2517" s="282"/>
      <c r="C2517" s="281"/>
      <c r="D2517" s="281"/>
      <c r="E2517" s="255" t="s">
        <v>192</v>
      </c>
      <c r="L2517" s="264">
        <v>637</v>
      </c>
      <c r="M2517" s="264">
        <v>640</v>
      </c>
      <c r="N2517" s="264">
        <v>658</v>
      </c>
    </row>
    <row r="2518" spans="1:14" hidden="1">
      <c r="A2518" s="281"/>
      <c r="B2518" s="282"/>
      <c r="C2518" s="281"/>
      <c r="D2518" s="281"/>
      <c r="E2518" s="255" t="s">
        <v>209</v>
      </c>
      <c r="L2518" s="264">
        <v>2389</v>
      </c>
      <c r="M2518" s="264">
        <v>2440</v>
      </c>
      <c r="N2518" s="264">
        <v>2459</v>
      </c>
    </row>
    <row r="2519" spans="1:14" hidden="1">
      <c r="A2519" s="281"/>
      <c r="B2519" s="282"/>
      <c r="C2519" s="281"/>
      <c r="D2519" s="281"/>
      <c r="E2519" s="255" t="s">
        <v>367</v>
      </c>
      <c r="L2519" s="264">
        <v>3981</v>
      </c>
      <c r="M2519" s="264">
        <v>4066</v>
      </c>
      <c r="N2519" s="264">
        <v>4098</v>
      </c>
    </row>
    <row r="2520" spans="1:14" ht="30" hidden="1">
      <c r="A2520" s="281" t="s">
        <v>419</v>
      </c>
      <c r="B2520" s="282" t="s">
        <v>420</v>
      </c>
      <c r="C2520" s="281">
        <v>11</v>
      </c>
      <c r="D2520" s="281" t="s">
        <v>100</v>
      </c>
      <c r="E2520" s="255" t="s">
        <v>84</v>
      </c>
      <c r="L2520" s="264">
        <v>766978.00563830091</v>
      </c>
      <c r="M2520" s="264">
        <v>770622.66051037936</v>
      </c>
      <c r="N2520" s="264">
        <v>774284.41242918791</v>
      </c>
    </row>
    <row r="2521" spans="1:14" hidden="1">
      <c r="A2521" s="281"/>
      <c r="B2521" s="282"/>
      <c r="C2521" s="281"/>
      <c r="D2521" s="281"/>
      <c r="E2521" s="255" t="s">
        <v>226</v>
      </c>
      <c r="L2521" s="264">
        <v>28400.331444791787</v>
      </c>
      <c r="M2521" s="264">
        <v>28535.288908510393</v>
      </c>
      <c r="N2521" s="264">
        <v>28670.879456607297</v>
      </c>
    </row>
    <row r="2522" spans="1:14" ht="30" hidden="1">
      <c r="A2522" s="281" t="s">
        <v>365</v>
      </c>
      <c r="B2522" s="282" t="s">
        <v>366</v>
      </c>
      <c r="C2522" s="281">
        <v>11</v>
      </c>
      <c r="D2522" s="281" t="s">
        <v>100</v>
      </c>
      <c r="E2522" s="255" t="s">
        <v>84</v>
      </c>
      <c r="L2522" s="264">
        <v>15668.709443034326</v>
      </c>
      <c r="M2522" s="264">
        <v>15668.709443034326</v>
      </c>
      <c r="N2522" s="264">
        <v>15668.709443034326</v>
      </c>
    </row>
    <row r="2523" spans="1:14" hidden="1">
      <c r="A2523" s="281"/>
      <c r="B2523" s="282"/>
      <c r="C2523" s="281"/>
      <c r="D2523" s="281"/>
      <c r="E2523" s="255" t="s">
        <v>226</v>
      </c>
      <c r="L2523" s="264">
        <v>72039.407623675244</v>
      </c>
      <c r="M2523" s="264">
        <v>72039.407623675244</v>
      </c>
      <c r="N2523" s="264">
        <v>72039.407623675244</v>
      </c>
    </row>
    <row r="2524" spans="1:14" hidden="1">
      <c r="A2524" s="281"/>
      <c r="B2524" s="282"/>
      <c r="C2524" s="281"/>
      <c r="D2524" s="281"/>
      <c r="E2524" s="255" t="s">
        <v>209</v>
      </c>
      <c r="L2524" s="264">
        <v>14244.581523268573</v>
      </c>
      <c r="M2524" s="264">
        <v>14244.581523268573</v>
      </c>
      <c r="N2524" s="264">
        <v>14244.581523268573</v>
      </c>
    </row>
    <row r="2525" spans="1:14" hidden="1">
      <c r="A2525" s="281"/>
      <c r="B2525" s="282"/>
      <c r="C2525" s="281"/>
      <c r="D2525" s="281"/>
      <c r="E2525" s="255" t="s">
        <v>367</v>
      </c>
      <c r="L2525" s="264">
        <v>14793.593156105808</v>
      </c>
      <c r="M2525" s="264">
        <v>14793.593156105808</v>
      </c>
      <c r="N2525" s="264">
        <v>14793.593156105808</v>
      </c>
    </row>
    <row r="2526" spans="1:14" ht="30" hidden="1">
      <c r="A2526" s="281" t="s">
        <v>423</v>
      </c>
      <c r="B2526" s="282" t="s">
        <v>424</v>
      </c>
      <c r="C2526" s="281">
        <v>51</v>
      </c>
      <c r="D2526" s="281" t="s">
        <v>109</v>
      </c>
      <c r="E2526" s="255" t="s">
        <v>84</v>
      </c>
      <c r="L2526" s="264">
        <v>16845</v>
      </c>
      <c r="M2526" s="264">
        <v>0</v>
      </c>
      <c r="N2526" s="264">
        <v>0</v>
      </c>
    </row>
    <row r="2527" spans="1:14" hidden="1">
      <c r="A2527" s="281"/>
      <c r="B2527" s="282"/>
      <c r="C2527" s="281"/>
      <c r="D2527" s="281"/>
      <c r="E2527" s="255" t="s">
        <v>226</v>
      </c>
      <c r="L2527" s="264">
        <v>11334</v>
      </c>
      <c r="M2527" s="264">
        <v>0</v>
      </c>
      <c r="N2527" s="264">
        <v>0</v>
      </c>
    </row>
    <row r="2528" spans="1:14" ht="30" hidden="1">
      <c r="A2528" s="281" t="s">
        <v>421</v>
      </c>
      <c r="B2528" s="282" t="s">
        <v>422</v>
      </c>
      <c r="C2528" s="281">
        <v>31</v>
      </c>
      <c r="D2528" s="281" t="s">
        <v>333</v>
      </c>
      <c r="E2528" s="255" t="s">
        <v>84</v>
      </c>
      <c r="L2528" s="264">
        <v>11945</v>
      </c>
      <c r="M2528" s="264">
        <v>10500</v>
      </c>
      <c r="N2528" s="264">
        <v>11500</v>
      </c>
    </row>
    <row r="2529" spans="1:14" hidden="1">
      <c r="A2529" s="281"/>
      <c r="B2529" s="282"/>
      <c r="C2529" s="281"/>
      <c r="D2529" s="281"/>
      <c r="E2529" s="255" t="s">
        <v>226</v>
      </c>
      <c r="L2529" s="264">
        <v>62115</v>
      </c>
      <c r="M2529" s="264">
        <v>40996</v>
      </c>
      <c r="N2529" s="264">
        <v>42651</v>
      </c>
    </row>
    <row r="2530" spans="1:14" hidden="1">
      <c r="A2530" s="281"/>
      <c r="B2530" s="282"/>
      <c r="C2530" s="281">
        <v>43</v>
      </c>
      <c r="D2530" s="281" t="s">
        <v>104</v>
      </c>
      <c r="E2530" s="255" t="s">
        <v>84</v>
      </c>
      <c r="L2530" s="264">
        <v>65433</v>
      </c>
      <c r="M2530" s="264">
        <v>33500</v>
      </c>
      <c r="N2530" s="264">
        <v>35500</v>
      </c>
    </row>
    <row r="2531" spans="1:14" hidden="1">
      <c r="A2531" s="281"/>
      <c r="B2531" s="282"/>
      <c r="C2531" s="281"/>
      <c r="D2531" s="281"/>
      <c r="E2531" s="255" t="s">
        <v>226</v>
      </c>
      <c r="L2531" s="264">
        <v>645699</v>
      </c>
      <c r="M2531" s="264">
        <v>317592</v>
      </c>
      <c r="N2531" s="264">
        <v>311010</v>
      </c>
    </row>
    <row r="2532" spans="1:14" hidden="1">
      <c r="A2532" s="281"/>
      <c r="B2532" s="282"/>
      <c r="C2532" s="281"/>
      <c r="D2532" s="281"/>
      <c r="E2532" s="255" t="s">
        <v>192</v>
      </c>
      <c r="L2532" s="264">
        <v>2655</v>
      </c>
      <c r="M2532" s="264">
        <v>2655</v>
      </c>
      <c r="N2532" s="264">
        <v>2655</v>
      </c>
    </row>
    <row r="2533" spans="1:14" hidden="1">
      <c r="A2533" s="281"/>
      <c r="B2533" s="282"/>
      <c r="C2533" s="281"/>
      <c r="D2533" s="281"/>
      <c r="E2533" s="255" t="s">
        <v>209</v>
      </c>
      <c r="L2533" s="264">
        <v>7963</v>
      </c>
      <c r="M2533" s="264">
        <v>7960</v>
      </c>
      <c r="N2533" s="264">
        <v>7960</v>
      </c>
    </row>
    <row r="2534" spans="1:14" hidden="1">
      <c r="A2534" s="281"/>
      <c r="B2534" s="282"/>
      <c r="C2534" s="281"/>
      <c r="D2534" s="281"/>
      <c r="E2534" s="255" t="s">
        <v>215</v>
      </c>
      <c r="L2534" s="264">
        <v>31324</v>
      </c>
      <c r="M2534" s="264">
        <v>797</v>
      </c>
      <c r="N2534" s="264">
        <v>797</v>
      </c>
    </row>
    <row r="2535" spans="1:14" hidden="1">
      <c r="A2535" s="281"/>
      <c r="B2535" s="282"/>
      <c r="C2535" s="281"/>
      <c r="D2535" s="281"/>
      <c r="E2535" s="255" t="s">
        <v>283</v>
      </c>
      <c r="L2535" s="264">
        <v>995416</v>
      </c>
      <c r="M2535" s="264">
        <v>0</v>
      </c>
      <c r="N2535" s="264">
        <v>0</v>
      </c>
    </row>
    <row r="2536" spans="1:14" hidden="1">
      <c r="A2536" s="281"/>
      <c r="B2536" s="282"/>
      <c r="C2536" s="281"/>
      <c r="D2536" s="281"/>
      <c r="E2536" s="255" t="s">
        <v>367</v>
      </c>
      <c r="L2536" s="264">
        <v>312695</v>
      </c>
      <c r="M2536" s="264">
        <v>104680</v>
      </c>
      <c r="N2536" s="264">
        <v>69445</v>
      </c>
    </row>
    <row r="2537" spans="1:14" hidden="1">
      <c r="A2537" s="281"/>
      <c r="B2537" s="282"/>
      <c r="C2537" s="281"/>
      <c r="D2537" s="281"/>
      <c r="E2537" s="255" t="s">
        <v>322</v>
      </c>
      <c r="L2537" s="264">
        <v>66361</v>
      </c>
      <c r="M2537" s="264">
        <v>0</v>
      </c>
      <c r="N2537" s="264">
        <v>0</v>
      </c>
    </row>
    <row r="2538" spans="1:14" hidden="1">
      <c r="A2538" s="281"/>
      <c r="B2538" s="282"/>
      <c r="C2538" s="281">
        <v>52</v>
      </c>
      <c r="D2538" s="281" t="s">
        <v>69</v>
      </c>
      <c r="E2538" s="255" t="s">
        <v>209</v>
      </c>
      <c r="L2538" s="264">
        <v>59725</v>
      </c>
      <c r="M2538" s="264">
        <v>59725</v>
      </c>
      <c r="N2538" s="264">
        <v>59725</v>
      </c>
    </row>
    <row r="2539" spans="1:14" hidden="1">
      <c r="A2539" s="281"/>
      <c r="B2539" s="282"/>
      <c r="C2539" s="281">
        <v>61</v>
      </c>
      <c r="D2539" s="281" t="s">
        <v>276</v>
      </c>
      <c r="E2539" s="255" t="s">
        <v>226</v>
      </c>
      <c r="L2539" s="264">
        <v>664</v>
      </c>
      <c r="M2539" s="264">
        <v>664</v>
      </c>
      <c r="N2539" s="264">
        <v>664</v>
      </c>
    </row>
    <row r="2540" spans="1:14" hidden="1">
      <c r="A2540" s="281"/>
      <c r="B2540" s="282"/>
      <c r="C2540" s="281"/>
      <c r="D2540" s="281"/>
      <c r="E2540" s="255" t="s">
        <v>367</v>
      </c>
      <c r="L2540" s="264">
        <v>664</v>
      </c>
      <c r="M2540" s="264">
        <v>664</v>
      </c>
      <c r="N2540" s="264">
        <v>664</v>
      </c>
    </row>
    <row r="2541" spans="1:14" ht="30" hidden="1">
      <c r="A2541" s="281" t="s">
        <v>363</v>
      </c>
      <c r="B2541" s="282" t="s">
        <v>364</v>
      </c>
      <c r="C2541" s="281">
        <v>11</v>
      </c>
      <c r="D2541" s="281" t="s">
        <v>100</v>
      </c>
      <c r="E2541" s="255" t="s">
        <v>84</v>
      </c>
      <c r="L2541" s="264">
        <v>1089097.6672035893</v>
      </c>
      <c r="M2541" s="264">
        <v>1094270.5540679176</v>
      </c>
      <c r="N2541" s="264">
        <v>1099469.9405066683</v>
      </c>
    </row>
    <row r="2542" spans="1:14" hidden="1">
      <c r="A2542" s="281"/>
      <c r="B2542" s="282"/>
      <c r="C2542" s="281"/>
      <c r="D2542" s="281"/>
      <c r="E2542" s="255" t="s">
        <v>226</v>
      </c>
      <c r="L2542" s="264">
        <v>18393.673596218614</v>
      </c>
      <c r="M2542" s="264">
        <v>18481.038022199733</v>
      </c>
      <c r="N2542" s="264">
        <v>18568.84999713541</v>
      </c>
    </row>
    <row r="2543" spans="1:14" ht="30" hidden="1">
      <c r="A2543" s="281" t="s">
        <v>365</v>
      </c>
      <c r="B2543" s="282" t="s">
        <v>366</v>
      </c>
      <c r="C2543" s="281">
        <v>11</v>
      </c>
      <c r="D2543" s="281" t="s">
        <v>100</v>
      </c>
      <c r="E2543" s="255" t="s">
        <v>226</v>
      </c>
      <c r="L2543" s="264">
        <v>78272.547539832129</v>
      </c>
      <c r="M2543" s="264">
        <v>78272.547539832129</v>
      </c>
      <c r="N2543" s="264">
        <v>78272.547539832129</v>
      </c>
    </row>
    <row r="2544" spans="1:14" ht="30" hidden="1">
      <c r="A2544" s="281" t="s">
        <v>370</v>
      </c>
      <c r="B2544" s="282" t="s">
        <v>371</v>
      </c>
      <c r="C2544" s="281">
        <v>31</v>
      </c>
      <c r="D2544" s="281" t="s">
        <v>333</v>
      </c>
      <c r="E2544" s="255" t="s">
        <v>226</v>
      </c>
      <c r="L2544" s="264">
        <v>2247</v>
      </c>
      <c r="M2544" s="264">
        <v>2247</v>
      </c>
      <c r="N2544" s="264">
        <v>2247</v>
      </c>
    </row>
    <row r="2545" spans="1:14" hidden="1">
      <c r="A2545" s="281"/>
      <c r="B2545" s="282"/>
      <c r="C2545" s="281">
        <v>43</v>
      </c>
      <c r="D2545" s="281" t="s">
        <v>104</v>
      </c>
      <c r="E2545" s="255" t="s">
        <v>226</v>
      </c>
      <c r="L2545" s="264">
        <v>1200</v>
      </c>
      <c r="M2545" s="264">
        <v>1200</v>
      </c>
      <c r="N2545" s="264">
        <v>1200</v>
      </c>
    </row>
    <row r="2546" spans="1:14" hidden="1">
      <c r="A2546" s="281"/>
      <c r="B2546" s="282"/>
      <c r="C2546" s="281"/>
      <c r="D2546" s="281"/>
      <c r="E2546" s="255" t="s">
        <v>192</v>
      </c>
      <c r="L2546" s="264">
        <v>1450</v>
      </c>
      <c r="M2546" s="264">
        <v>1450</v>
      </c>
      <c r="N2546" s="264">
        <v>1450</v>
      </c>
    </row>
    <row r="2547" spans="1:14" hidden="1">
      <c r="A2547" s="281"/>
      <c r="B2547" s="282"/>
      <c r="C2547" s="281"/>
      <c r="D2547" s="281"/>
      <c r="E2547" s="255" t="s">
        <v>367</v>
      </c>
      <c r="L2547" s="264">
        <v>9291</v>
      </c>
      <c r="M2547" s="264">
        <v>0</v>
      </c>
      <c r="N2547" s="264">
        <v>0</v>
      </c>
    </row>
    <row r="2548" spans="1:14" ht="45" hidden="1">
      <c r="A2548" s="281" t="s">
        <v>375</v>
      </c>
      <c r="B2548" s="282" t="s">
        <v>376</v>
      </c>
      <c r="C2548" s="281">
        <v>5761</v>
      </c>
      <c r="D2548" s="281" t="s">
        <v>377</v>
      </c>
      <c r="E2548" s="255" t="s">
        <v>226</v>
      </c>
      <c r="L2548" s="264">
        <v>136536.49780436559</v>
      </c>
      <c r="M2548" s="264">
        <v>0</v>
      </c>
      <c r="N2548" s="264">
        <v>0</v>
      </c>
    </row>
    <row r="2549" spans="1:14" ht="45" hidden="1">
      <c r="A2549" s="281" t="s">
        <v>378</v>
      </c>
      <c r="B2549" s="282" t="s">
        <v>379</v>
      </c>
      <c r="C2549" s="281">
        <v>581</v>
      </c>
      <c r="D2549" s="281" t="s">
        <v>380</v>
      </c>
      <c r="E2549" s="255" t="s">
        <v>226</v>
      </c>
      <c r="L2549" s="264">
        <v>93607.37293166414</v>
      </c>
      <c r="M2549" s="264">
        <v>0</v>
      </c>
      <c r="N2549" s="264">
        <v>0</v>
      </c>
    </row>
    <row r="2550" spans="1:14" hidden="1">
      <c r="L2550" s="264"/>
      <c r="M2550" s="264"/>
      <c r="N2550" s="264"/>
    </row>
    <row r="2551" spans="1:14" hidden="1">
      <c r="L2551" s="264">
        <v>895112042.24025142</v>
      </c>
      <c r="M2551" s="264">
        <v>729831265.52784395</v>
      </c>
      <c r="N2551" s="264">
        <v>701341981.39680207</v>
      </c>
    </row>
  </sheetData>
  <mergeCells count="10">
    <mergeCell ref="A2051:D2056"/>
    <mergeCell ref="A2058:D2060"/>
    <mergeCell ref="A2063:B2070"/>
    <mergeCell ref="C2065:D2070"/>
    <mergeCell ref="C1:J3"/>
    <mergeCell ref="A4:J4"/>
    <mergeCell ref="A2023:D2024"/>
    <mergeCell ref="A2029:D2036"/>
    <mergeCell ref="A2038:D2042"/>
    <mergeCell ref="A2044:D2049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ADE11-EEB6-4CC3-A35C-B7338A75BC9A}">
  <sheetPr>
    <pageSetUpPr fitToPage="1"/>
  </sheetPr>
  <dimension ref="A1:AG1105"/>
  <sheetViews>
    <sheetView showGridLines="0" zoomScale="70" zoomScaleNormal="70" workbookViewId="0">
      <pane ySplit="2" topLeftCell="A3" activePane="bottomLeft" state="frozen"/>
      <selection pane="bottomLeft" activeCell="G11" sqref="G11"/>
    </sheetView>
  </sheetViews>
  <sheetFormatPr defaultColWidth="9.140625" defaultRowHeight="15"/>
  <cols>
    <col min="1" max="1" width="12.85546875" style="283" customWidth="1"/>
    <col min="2" max="2" width="32.140625" style="283" customWidth="1"/>
    <col min="3" max="3" width="11.7109375" style="283" customWidth="1"/>
    <col min="4" max="4" width="25.42578125" style="283" customWidth="1"/>
    <col min="5" max="5" width="16.42578125" style="283" customWidth="1"/>
    <col min="6" max="6" width="30.28515625" style="283" customWidth="1"/>
    <col min="7" max="7" width="6.140625" style="283" bestFit="1" customWidth="1"/>
    <col min="8" max="8" width="16.42578125" style="284" customWidth="1"/>
    <col min="9" max="9" width="15.7109375" style="284" customWidth="1"/>
    <col min="10" max="10" width="15.140625" style="284" customWidth="1"/>
    <col min="11" max="11" width="53" style="284" customWidth="1"/>
    <col min="12" max="13" width="9.5703125" style="284" customWidth="1"/>
    <col min="14" max="14" width="15.140625" style="284" customWidth="1"/>
    <col min="15" max="15" width="18.28515625" style="284" customWidth="1"/>
    <col min="16" max="16" width="51.7109375" style="284" customWidth="1"/>
    <col min="17" max="17" width="9.140625" style="283" customWidth="1"/>
    <col min="18" max="21" width="9.140625" style="283" hidden="1" customWidth="1"/>
    <col min="22" max="22" width="46.5703125" style="283" hidden="1" customWidth="1"/>
    <col min="23" max="24" width="9.140625" style="283" hidden="1" customWidth="1"/>
    <col min="25" max="25" width="58.85546875" style="283" hidden="1" customWidth="1"/>
    <col min="26" max="29" width="9.140625" style="283" hidden="1" customWidth="1"/>
    <col min="30" max="30" width="14.7109375" style="283" hidden="1" customWidth="1"/>
    <col min="31" max="35" width="0" style="283" hidden="1" customWidth="1"/>
    <col min="36" max="16384" width="9.140625" style="283"/>
  </cols>
  <sheetData>
    <row r="1" spans="1:33" ht="35.25" customHeight="1">
      <c r="A1" s="365" t="s">
        <v>2680</v>
      </c>
      <c r="B1" s="365"/>
      <c r="C1" s="313" t="str">
        <f>IF(OR('[2]OPĆI DIO'!A3="odaberite -",'[2]OPĆI DIO'!A3=""),"Molimo odaberite proračunskog korisnika na radnom listu Opći podaci!","")</f>
        <v>Molimo odaberite proračunskog korisnika na radnom listu Opći podaci!</v>
      </c>
      <c r="J1" s="312" t="s">
        <v>2679</v>
      </c>
    </row>
    <row r="2" spans="1:33" ht="60">
      <c r="A2" s="311" t="s">
        <v>2678</v>
      </c>
      <c r="B2" s="310" t="s">
        <v>353</v>
      </c>
      <c r="C2" s="311" t="s">
        <v>2677</v>
      </c>
      <c r="D2" s="310" t="s">
        <v>2676</v>
      </c>
      <c r="E2" s="311" t="s">
        <v>2675</v>
      </c>
      <c r="F2" s="310" t="s">
        <v>351</v>
      </c>
      <c r="G2" s="309" t="s">
        <v>2674</v>
      </c>
      <c r="H2" s="308" t="s">
        <v>2673</v>
      </c>
      <c r="I2" s="308" t="s">
        <v>2672</v>
      </c>
      <c r="J2" s="308" t="s">
        <v>2671</v>
      </c>
      <c r="K2" s="307" t="s">
        <v>2670</v>
      </c>
      <c r="L2" s="307" t="s">
        <v>2669</v>
      </c>
      <c r="M2" s="307" t="s">
        <v>2668</v>
      </c>
      <c r="N2" s="307" t="s">
        <v>2667</v>
      </c>
      <c r="O2" s="307" t="s">
        <v>2666</v>
      </c>
      <c r="P2" s="306" t="s">
        <v>2665</v>
      </c>
      <c r="R2" s="305" t="s">
        <v>2664</v>
      </c>
      <c r="S2" s="305" t="s">
        <v>2663</v>
      </c>
      <c r="T2" s="304"/>
    </row>
    <row r="3" spans="1:33">
      <c r="A3" s="290">
        <v>52</v>
      </c>
      <c r="B3" s="288" t="str">
        <f t="shared" ref="B3:B73" si="0">IFERROR(VLOOKUP(A3,$U$6:$V$31,2,FALSE),"")</f>
        <v>Ostale pomoći</v>
      </c>
      <c r="C3" s="290">
        <v>3111</v>
      </c>
      <c r="D3" s="288" t="str">
        <f t="shared" ref="D3:D73" si="1">IFERROR(VLOOKUP(C3,$X$5:$Z$144,2,FALSE),"")</f>
        <v>Plaće za redovan rad</v>
      </c>
      <c r="E3" s="289" t="s">
        <v>2457</v>
      </c>
      <c r="F3" s="288" t="str">
        <f t="shared" ref="F3:F73" si="2">IFERROR(VLOOKUP(E3,$AD$6:$AE$1105,2,FALSE),"")</f>
        <v>Prilagodba mjera kontrole populacije komaraca zbog klimatskih promjena u RH</v>
      </c>
      <c r="G3" s="288" t="str">
        <f t="shared" ref="G3:G73" si="3">IFERROR(VLOOKUP(E3,$AD$6:$AG$1105,4,FALSE),"")</f>
        <v>0942</v>
      </c>
      <c r="H3" s="128">
        <v>0</v>
      </c>
      <c r="I3" s="128">
        <v>13290</v>
      </c>
      <c r="J3" s="128">
        <v>21620</v>
      </c>
      <c r="K3" s="286"/>
      <c r="L3" s="287"/>
      <c r="M3" s="287"/>
      <c r="N3" s="286"/>
      <c r="O3" s="291"/>
      <c r="P3" s="285"/>
      <c r="R3" s="283" t="str">
        <f>LEFT(C3,3)</f>
        <v>311</v>
      </c>
      <c r="S3" s="283" t="str">
        <f>LEFT(C3,2)</f>
        <v>31</v>
      </c>
      <c r="T3" s="283" t="str">
        <f>MID(G3,2,2)</f>
        <v>94</v>
      </c>
    </row>
    <row r="4" spans="1:33">
      <c r="A4" s="290">
        <v>52</v>
      </c>
      <c r="B4" s="288" t="str">
        <f t="shared" si="0"/>
        <v>Ostale pomoći</v>
      </c>
      <c r="C4" s="290">
        <v>3132</v>
      </c>
      <c r="D4" s="288" t="str">
        <f t="shared" si="1"/>
        <v>Doprinosi za obvezno zdravstveno osiguranje</v>
      </c>
      <c r="E4" s="289" t="s">
        <v>2457</v>
      </c>
      <c r="F4" s="288" t="str">
        <f t="shared" si="2"/>
        <v>Prilagodba mjera kontrole populacije komaraca zbog klimatskih promjena u RH</v>
      </c>
      <c r="G4" s="288" t="str">
        <f t="shared" si="3"/>
        <v>0942</v>
      </c>
      <c r="H4" s="128">
        <v>0</v>
      </c>
      <c r="I4" s="128">
        <v>2708</v>
      </c>
      <c r="J4" s="128">
        <v>3480</v>
      </c>
      <c r="K4" s="286"/>
      <c r="L4" s="287"/>
      <c r="M4" s="287"/>
      <c r="N4" s="286"/>
      <c r="O4" s="291"/>
      <c r="P4" s="285"/>
      <c r="R4" s="283" t="str">
        <f>LEFT(C4,3)</f>
        <v>313</v>
      </c>
      <c r="S4" s="283" t="str">
        <f>LEFT(C4,2)</f>
        <v>31</v>
      </c>
      <c r="T4" s="283" t="str">
        <f>MID(G4,2,2)</f>
        <v>94</v>
      </c>
      <c r="X4" s="303"/>
      <c r="Y4" s="303"/>
    </row>
    <row r="5" spans="1:33">
      <c r="A5" s="290">
        <v>52</v>
      </c>
      <c r="B5" s="288" t="str">
        <f t="shared" si="0"/>
        <v>Ostale pomoći</v>
      </c>
      <c r="C5" s="290">
        <v>3211</v>
      </c>
      <c r="D5" s="288" t="str">
        <f t="shared" si="1"/>
        <v>Službena putovanja</v>
      </c>
      <c r="E5" s="289" t="s">
        <v>2457</v>
      </c>
      <c r="F5" s="288" t="str">
        <f t="shared" si="2"/>
        <v>Prilagodba mjera kontrole populacije komaraca zbog klimatskih promjena u RH</v>
      </c>
      <c r="G5" s="288" t="str">
        <f t="shared" si="3"/>
        <v>0942</v>
      </c>
      <c r="H5" s="128">
        <v>0</v>
      </c>
      <c r="I5" s="128">
        <v>1128</v>
      </c>
      <c r="J5" s="128">
        <v>1439</v>
      </c>
      <c r="K5" s="286"/>
      <c r="L5" s="287"/>
      <c r="M5" s="287"/>
      <c r="N5" s="286"/>
      <c r="O5" s="291"/>
      <c r="P5" s="285"/>
      <c r="R5" s="283" t="str">
        <f>LEFT(C5,3)</f>
        <v>321</v>
      </c>
      <c r="S5" s="283" t="str">
        <f>LEFT(C5,2)</f>
        <v>32</v>
      </c>
      <c r="T5" s="283" t="str">
        <f>MID(G5,2,2)</f>
        <v>94</v>
      </c>
      <c r="U5" s="283" t="s">
        <v>352</v>
      </c>
      <c r="V5" s="283" t="s">
        <v>353</v>
      </c>
      <c r="X5" s="283">
        <v>3111</v>
      </c>
      <c r="Y5" s="283" t="s">
        <v>122</v>
      </c>
      <c r="AA5" s="283" t="str">
        <f>LEFT(X5,2)</f>
        <v>31</v>
      </c>
      <c r="AB5" s="283" t="str">
        <f>LEFT(X5,3)</f>
        <v>311</v>
      </c>
      <c r="AD5" s="283" t="s">
        <v>350</v>
      </c>
      <c r="AE5" s="283" t="s">
        <v>351</v>
      </c>
    </row>
    <row r="6" spans="1:33">
      <c r="A6" s="290">
        <v>52</v>
      </c>
      <c r="B6" s="288" t="str">
        <f t="shared" si="0"/>
        <v>Ostale pomoći</v>
      </c>
      <c r="C6" s="290">
        <v>3239</v>
      </c>
      <c r="D6" s="288" t="str">
        <f t="shared" si="1"/>
        <v>Ostale usluge</v>
      </c>
      <c r="E6" s="289" t="s">
        <v>2457</v>
      </c>
      <c r="F6" s="288" t="str">
        <f t="shared" si="2"/>
        <v>Prilagodba mjera kontrole populacije komaraca zbog klimatskih promjena u RH</v>
      </c>
      <c r="G6" s="288" t="str">
        <f t="shared" si="3"/>
        <v>0942</v>
      </c>
      <c r="H6" s="128">
        <v>0</v>
      </c>
      <c r="I6" s="128">
        <v>4641</v>
      </c>
      <c r="J6" s="128">
        <v>10108</v>
      </c>
      <c r="K6" s="286"/>
      <c r="L6" s="287"/>
      <c r="M6" s="287"/>
      <c r="N6" s="286"/>
      <c r="O6" s="291"/>
      <c r="P6" s="285"/>
      <c r="R6" s="283" t="str">
        <f>LEFT(C6,3)</f>
        <v>323</v>
      </c>
      <c r="S6" s="283" t="str">
        <f>LEFT(C6,2)</f>
        <v>32</v>
      </c>
      <c r="T6" s="283" t="str">
        <f>MID(G6,2,2)</f>
        <v>94</v>
      </c>
      <c r="U6" s="283">
        <v>11</v>
      </c>
      <c r="V6" s="283" t="s">
        <v>100</v>
      </c>
      <c r="X6" s="283">
        <v>3112</v>
      </c>
      <c r="Y6" s="283" t="s">
        <v>2662</v>
      </c>
      <c r="AA6" s="283" t="str">
        <f>LEFT(X6,2)</f>
        <v>31</v>
      </c>
      <c r="AB6" s="283" t="str">
        <f>LEFT(X6,3)</f>
        <v>311</v>
      </c>
      <c r="AD6" s="283" t="s">
        <v>2661</v>
      </c>
      <c r="AE6" s="283" t="s">
        <v>2661</v>
      </c>
      <c r="AF6" s="283" t="s">
        <v>2661</v>
      </c>
      <c r="AG6" s="283" t="s">
        <v>2661</v>
      </c>
    </row>
    <row r="7" spans="1:33">
      <c r="A7" s="290">
        <v>52</v>
      </c>
      <c r="B7" s="288" t="str">
        <f t="shared" si="0"/>
        <v>Ostale pomoći</v>
      </c>
      <c r="C7" s="290">
        <v>3693</v>
      </c>
      <c r="D7" s="288" t="str">
        <f t="shared" si="1"/>
        <v>Tekući prijenosi između proračunskih korisnika istog proraču</v>
      </c>
      <c r="E7" s="289" t="s">
        <v>2457</v>
      </c>
      <c r="F7" s="288" t="str">
        <f t="shared" si="2"/>
        <v>Prilagodba mjera kontrole populacije komaraca zbog klimatskih promjena u RH</v>
      </c>
      <c r="G7" s="288" t="str">
        <f t="shared" si="3"/>
        <v>0942</v>
      </c>
      <c r="H7" s="128">
        <v>0</v>
      </c>
      <c r="I7" s="128">
        <v>46486</v>
      </c>
      <c r="J7" s="128">
        <v>18634</v>
      </c>
      <c r="K7" s="286"/>
      <c r="L7" s="287"/>
      <c r="M7" s="287"/>
      <c r="N7" s="286"/>
      <c r="O7" s="291"/>
      <c r="P7" s="285"/>
      <c r="R7" s="283" t="str">
        <f>LEFT(C7,3)</f>
        <v>369</v>
      </c>
      <c r="S7" s="283" t="str">
        <f>LEFT(C7,2)</f>
        <v>36</v>
      </c>
      <c r="T7" s="283" t="str">
        <f>MID(G7,2,2)</f>
        <v>94</v>
      </c>
      <c r="U7" s="283">
        <v>12</v>
      </c>
      <c r="V7" s="283" t="s">
        <v>102</v>
      </c>
      <c r="X7" s="283">
        <v>3113</v>
      </c>
      <c r="Y7" s="283" t="s">
        <v>124</v>
      </c>
      <c r="AA7" s="283" t="str">
        <f>LEFT(X7,2)</f>
        <v>31</v>
      </c>
      <c r="AB7" s="283" t="str">
        <f>LEFT(X7,3)</f>
        <v>311</v>
      </c>
      <c r="AD7" s="283" t="s">
        <v>2660</v>
      </c>
      <c r="AE7" s="283" t="s">
        <v>820</v>
      </c>
      <c r="AF7" s="283" t="str">
        <f>LEFT(AD7,7)</f>
        <v>K578051</v>
      </c>
      <c r="AG7" s="283" t="str">
        <f>VLOOKUP(AF7,[2]AKT!$C$4:$E$324,3,FALSE)</f>
        <v>0150</v>
      </c>
    </row>
    <row r="8" spans="1:33">
      <c r="A8" s="290">
        <v>52</v>
      </c>
      <c r="B8" s="288" t="str">
        <f t="shared" si="0"/>
        <v>Ostale pomoći</v>
      </c>
      <c r="C8" s="290">
        <v>3235</v>
      </c>
      <c r="D8" s="288" t="str">
        <f t="shared" si="1"/>
        <v>Zakupnine i najamnine</v>
      </c>
      <c r="E8" s="289" t="s">
        <v>2457</v>
      </c>
      <c r="F8" s="288" t="str">
        <f t="shared" si="2"/>
        <v>Prilagodba mjera kontrole populacije komaraca zbog klimatskih promjena u RH</v>
      </c>
      <c r="G8" s="288" t="str">
        <f t="shared" si="3"/>
        <v>0942</v>
      </c>
      <c r="H8" s="128">
        <v>0</v>
      </c>
      <c r="I8" s="128">
        <v>0</v>
      </c>
      <c r="J8" s="128">
        <v>265</v>
      </c>
      <c r="K8" s="286"/>
      <c r="L8" s="287"/>
      <c r="M8" s="287"/>
      <c r="N8" s="286"/>
      <c r="O8" s="291"/>
      <c r="P8" s="285"/>
    </row>
    <row r="9" spans="1:33">
      <c r="A9" s="290">
        <v>52</v>
      </c>
      <c r="B9" s="288" t="str">
        <f t="shared" si="0"/>
        <v>Ostale pomoći</v>
      </c>
      <c r="C9" s="290">
        <v>3293</v>
      </c>
      <c r="D9" s="288" t="str">
        <f t="shared" si="1"/>
        <v>Reprezentacija</v>
      </c>
      <c r="E9" s="289" t="s">
        <v>2457</v>
      </c>
      <c r="F9" s="288" t="str">
        <f t="shared" si="2"/>
        <v>Prilagodba mjera kontrole populacije komaraca zbog klimatskih promjena u RH</v>
      </c>
      <c r="G9" s="288" t="str">
        <f t="shared" si="3"/>
        <v>0942</v>
      </c>
      <c r="H9" s="128">
        <v>0</v>
      </c>
      <c r="I9" s="128">
        <v>0</v>
      </c>
      <c r="J9" s="128">
        <v>1338</v>
      </c>
      <c r="K9" s="286"/>
      <c r="L9" s="287"/>
      <c r="M9" s="287"/>
      <c r="N9" s="286"/>
      <c r="O9" s="291"/>
      <c r="P9" s="285"/>
    </row>
    <row r="10" spans="1:33" ht="22.5">
      <c r="A10" s="290">
        <v>52</v>
      </c>
      <c r="B10" s="288" t="str">
        <f t="shared" si="0"/>
        <v>Ostale pomoći</v>
      </c>
      <c r="C10" s="290">
        <v>3111</v>
      </c>
      <c r="D10" s="288" t="str">
        <f t="shared" si="1"/>
        <v>Plaće za redovan rad</v>
      </c>
      <c r="E10" s="289" t="s">
        <v>2661</v>
      </c>
      <c r="F10" s="288" t="str">
        <f t="shared" si="2"/>
        <v>NOVI PODPROJEKT</v>
      </c>
      <c r="G10" s="288" t="str">
        <f t="shared" si="3"/>
        <v>NOVI PODPROJEKT</v>
      </c>
      <c r="H10" s="128">
        <v>0</v>
      </c>
      <c r="I10" s="128">
        <v>17801</v>
      </c>
      <c r="J10" s="128">
        <v>5669</v>
      </c>
      <c r="K10" s="314" t="s">
        <v>2681</v>
      </c>
      <c r="L10" s="287" t="s">
        <v>2682</v>
      </c>
      <c r="M10" s="287" t="s">
        <v>2683</v>
      </c>
      <c r="N10" s="286" t="s">
        <v>2684</v>
      </c>
      <c r="O10" s="291" t="s">
        <v>2685</v>
      </c>
      <c r="P10" s="285"/>
      <c r="R10" s="283" t="str">
        <f t="shared" ref="R10:R18" si="4">LEFT(C10,3)</f>
        <v>311</v>
      </c>
      <c r="S10" s="283" t="str">
        <f t="shared" ref="S10:S18" si="5">LEFT(C10,2)</f>
        <v>31</v>
      </c>
      <c r="T10" s="283" t="str">
        <f t="shared" ref="T10:T18" si="6">MID(G10,2,2)</f>
        <v>OV</v>
      </c>
      <c r="U10" s="283">
        <v>31</v>
      </c>
      <c r="V10" s="283" t="s">
        <v>333</v>
      </c>
      <c r="X10" s="283">
        <v>3114</v>
      </c>
      <c r="Y10" s="283" t="s">
        <v>126</v>
      </c>
      <c r="AA10" s="283" t="str">
        <f t="shared" ref="AA10:AA18" si="7">LEFT(X10,2)</f>
        <v>31</v>
      </c>
      <c r="AB10" s="283" t="str">
        <f t="shared" ref="AB10:AB18" si="8">LEFT(X10,3)</f>
        <v>311</v>
      </c>
      <c r="AD10" s="283" t="s">
        <v>2659</v>
      </c>
      <c r="AE10" s="283" t="s">
        <v>495</v>
      </c>
      <c r="AF10" s="283" t="str">
        <f t="shared" ref="AF10:AF18" si="9">LEFT(AD10,7)</f>
        <v>K578051</v>
      </c>
      <c r="AG10" s="283" t="str">
        <f>VLOOKUP(AF10,[2]AKT!$C$4:$E$324,3,FALSE)</f>
        <v>0150</v>
      </c>
    </row>
    <row r="11" spans="1:33" ht="22.5">
      <c r="A11" s="290">
        <v>52</v>
      </c>
      <c r="B11" s="288" t="str">
        <f t="shared" si="0"/>
        <v>Ostale pomoći</v>
      </c>
      <c r="C11" s="290">
        <v>3132</v>
      </c>
      <c r="D11" s="288" t="str">
        <f t="shared" si="1"/>
        <v>Doprinosi za obvezno zdravstveno osiguranje</v>
      </c>
      <c r="E11" s="289" t="s">
        <v>2661</v>
      </c>
      <c r="F11" s="288" t="str">
        <f t="shared" si="2"/>
        <v>NOVI PODPROJEKT</v>
      </c>
      <c r="G11" s="288" t="str">
        <f t="shared" si="3"/>
        <v>NOVI PODPROJEKT</v>
      </c>
      <c r="H11" s="128">
        <v>0</v>
      </c>
      <c r="I11" s="128">
        <v>2937</v>
      </c>
      <c r="J11" s="128">
        <v>935</v>
      </c>
      <c r="K11" s="314" t="s">
        <v>2681</v>
      </c>
      <c r="L11" s="287" t="s">
        <v>2682</v>
      </c>
      <c r="M11" s="287" t="s">
        <v>2683</v>
      </c>
      <c r="N11" s="286" t="s">
        <v>2684</v>
      </c>
      <c r="O11" s="291" t="s">
        <v>2685</v>
      </c>
      <c r="P11" s="285"/>
      <c r="R11" s="283" t="str">
        <f t="shared" si="4"/>
        <v>313</v>
      </c>
      <c r="S11" s="283" t="str">
        <f t="shared" si="5"/>
        <v>31</v>
      </c>
      <c r="T11" s="283" t="str">
        <f t="shared" si="6"/>
        <v>OV</v>
      </c>
      <c r="U11" s="301">
        <v>41</v>
      </c>
      <c r="V11" s="301" t="s">
        <v>2658</v>
      </c>
      <c r="X11" s="283">
        <v>3121</v>
      </c>
      <c r="Y11" s="283" t="s">
        <v>128</v>
      </c>
      <c r="AA11" s="283" t="str">
        <f t="shared" si="7"/>
        <v>31</v>
      </c>
      <c r="AB11" s="283" t="str">
        <f t="shared" si="8"/>
        <v>312</v>
      </c>
      <c r="AD11" s="283" t="s">
        <v>2657</v>
      </c>
      <c r="AE11" s="283" t="s">
        <v>2656</v>
      </c>
      <c r="AF11" s="283" t="str">
        <f t="shared" si="9"/>
        <v>K578051</v>
      </c>
      <c r="AG11" s="283" t="str">
        <f>VLOOKUP(AF11,[2]AKT!$C$4:$E$324,3,FALSE)</f>
        <v>0150</v>
      </c>
    </row>
    <row r="12" spans="1:33" ht="22.5">
      <c r="A12" s="290">
        <v>52</v>
      </c>
      <c r="B12" s="288" t="str">
        <f t="shared" si="0"/>
        <v>Ostale pomoći</v>
      </c>
      <c r="C12" s="290">
        <v>3212</v>
      </c>
      <c r="D12" s="288" t="str">
        <f t="shared" si="1"/>
        <v>Naknade za prijevoz, za rad na terenu i odvojeni život</v>
      </c>
      <c r="E12" s="289" t="s">
        <v>2661</v>
      </c>
      <c r="F12" s="288" t="str">
        <f t="shared" si="2"/>
        <v>NOVI PODPROJEKT</v>
      </c>
      <c r="G12" s="288" t="str">
        <f t="shared" si="3"/>
        <v>NOVI PODPROJEKT</v>
      </c>
      <c r="H12" s="128">
        <v>0</v>
      </c>
      <c r="I12" s="128">
        <v>1394</v>
      </c>
      <c r="J12" s="128">
        <v>132</v>
      </c>
      <c r="K12" s="314" t="s">
        <v>2681</v>
      </c>
      <c r="L12" s="287" t="s">
        <v>2682</v>
      </c>
      <c r="M12" s="287" t="s">
        <v>2683</v>
      </c>
      <c r="N12" s="286" t="s">
        <v>2684</v>
      </c>
      <c r="O12" s="291" t="s">
        <v>2685</v>
      </c>
      <c r="P12" s="285"/>
      <c r="R12" s="283" t="str">
        <f t="shared" si="4"/>
        <v>321</v>
      </c>
      <c r="S12" s="283" t="str">
        <f t="shared" si="5"/>
        <v>32</v>
      </c>
      <c r="T12" s="283" t="str">
        <f t="shared" si="6"/>
        <v>OV</v>
      </c>
      <c r="U12" s="283">
        <v>43</v>
      </c>
      <c r="V12" s="283" t="s">
        <v>104</v>
      </c>
      <c r="X12" s="302">
        <v>3132</v>
      </c>
      <c r="Y12" s="302" t="s">
        <v>132</v>
      </c>
      <c r="Z12" s="302"/>
      <c r="AA12" s="302" t="str">
        <f t="shared" si="7"/>
        <v>31</v>
      </c>
      <c r="AB12" s="302" t="str">
        <f t="shared" si="8"/>
        <v>313</v>
      </c>
      <c r="AD12" s="283" t="s">
        <v>2655</v>
      </c>
      <c r="AE12" s="283" t="s">
        <v>503</v>
      </c>
      <c r="AF12" s="283" t="str">
        <f t="shared" si="9"/>
        <v>K578051</v>
      </c>
      <c r="AG12" s="283" t="str">
        <f>VLOOKUP(AF12,[2]AKT!$C$4:$E$324,3,FALSE)</f>
        <v>0150</v>
      </c>
    </row>
    <row r="13" spans="1:33" ht="22.5">
      <c r="A13" s="290">
        <v>52</v>
      </c>
      <c r="B13" s="288" t="str">
        <f t="shared" si="0"/>
        <v>Ostale pomoći</v>
      </c>
      <c r="C13" s="290">
        <v>3211</v>
      </c>
      <c r="D13" s="288" t="str">
        <f t="shared" si="1"/>
        <v>Službena putovanja</v>
      </c>
      <c r="E13" s="289" t="s">
        <v>2661</v>
      </c>
      <c r="F13" s="288" t="str">
        <f t="shared" si="2"/>
        <v>NOVI PODPROJEKT</v>
      </c>
      <c r="G13" s="288" t="str">
        <f t="shared" si="3"/>
        <v>NOVI PODPROJEKT</v>
      </c>
      <c r="H13" s="128">
        <v>0</v>
      </c>
      <c r="I13" s="128">
        <v>14680</v>
      </c>
      <c r="J13" s="128">
        <v>4653</v>
      </c>
      <c r="K13" s="314" t="s">
        <v>2681</v>
      </c>
      <c r="L13" s="287" t="s">
        <v>2682</v>
      </c>
      <c r="M13" s="287" t="s">
        <v>2683</v>
      </c>
      <c r="N13" s="286" t="s">
        <v>2684</v>
      </c>
      <c r="O13" s="291" t="s">
        <v>2685</v>
      </c>
      <c r="P13" s="285"/>
      <c r="R13" s="283" t="str">
        <f t="shared" si="4"/>
        <v>321</v>
      </c>
      <c r="S13" s="283" t="str">
        <f t="shared" si="5"/>
        <v>32</v>
      </c>
      <c r="T13" s="283" t="str">
        <f t="shared" si="6"/>
        <v>OV</v>
      </c>
      <c r="U13" s="283">
        <v>51</v>
      </c>
      <c r="V13" s="283" t="s">
        <v>109</v>
      </c>
      <c r="X13" s="283">
        <v>3211</v>
      </c>
      <c r="Y13" s="283" t="s">
        <v>137</v>
      </c>
      <c r="AA13" s="283" t="str">
        <f t="shared" si="7"/>
        <v>32</v>
      </c>
      <c r="AB13" s="283" t="str">
        <f t="shared" si="8"/>
        <v>321</v>
      </c>
      <c r="AD13" s="283" t="s">
        <v>2654</v>
      </c>
      <c r="AE13" s="283" t="s">
        <v>2653</v>
      </c>
      <c r="AF13" s="283" t="str">
        <f t="shared" si="9"/>
        <v>K578051</v>
      </c>
      <c r="AG13" s="283" t="str">
        <f>VLOOKUP(AF13,[2]AKT!$C$4:$E$324,3,FALSE)</f>
        <v>0150</v>
      </c>
    </row>
    <row r="14" spans="1:33" ht="22.5">
      <c r="A14" s="290">
        <v>52</v>
      </c>
      <c r="B14" s="288" t="str">
        <f t="shared" si="0"/>
        <v>Ostale pomoći</v>
      </c>
      <c r="C14" s="290">
        <v>3213</v>
      </c>
      <c r="D14" s="288" t="str">
        <f t="shared" si="1"/>
        <v>Stručno usavršavanje zaposlenika</v>
      </c>
      <c r="E14" s="289" t="s">
        <v>2661</v>
      </c>
      <c r="F14" s="288" t="str">
        <f t="shared" si="2"/>
        <v>NOVI PODPROJEKT</v>
      </c>
      <c r="G14" s="288" t="str">
        <f t="shared" si="3"/>
        <v>NOVI PODPROJEKT</v>
      </c>
      <c r="H14" s="128">
        <v>0</v>
      </c>
      <c r="I14" s="128">
        <v>1904</v>
      </c>
      <c r="J14" s="128">
        <v>733</v>
      </c>
      <c r="K14" s="314" t="s">
        <v>2681</v>
      </c>
      <c r="L14" s="287" t="s">
        <v>2682</v>
      </c>
      <c r="M14" s="287" t="s">
        <v>2683</v>
      </c>
      <c r="N14" s="286" t="s">
        <v>2684</v>
      </c>
      <c r="O14" s="291" t="s">
        <v>2685</v>
      </c>
      <c r="P14" s="285"/>
      <c r="R14" s="283" t="str">
        <f t="shared" si="4"/>
        <v>321</v>
      </c>
      <c r="S14" s="283" t="str">
        <f t="shared" si="5"/>
        <v>32</v>
      </c>
      <c r="T14" s="283" t="str">
        <f t="shared" si="6"/>
        <v>OV</v>
      </c>
      <c r="U14" s="283">
        <v>52</v>
      </c>
      <c r="V14" s="283" t="s">
        <v>69</v>
      </c>
      <c r="X14" s="283">
        <v>3212</v>
      </c>
      <c r="Y14" s="283" t="s">
        <v>139</v>
      </c>
      <c r="AA14" s="283" t="str">
        <f t="shared" si="7"/>
        <v>32</v>
      </c>
      <c r="AB14" s="283" t="str">
        <f t="shared" si="8"/>
        <v>321</v>
      </c>
      <c r="AD14" s="283" t="s">
        <v>2652</v>
      </c>
      <c r="AE14" s="283" t="s">
        <v>491</v>
      </c>
      <c r="AF14" s="283" t="str">
        <f t="shared" si="9"/>
        <v>K578051</v>
      </c>
      <c r="AG14" s="283" t="str">
        <f>VLOOKUP(AF14,[2]AKT!$C$4:$E$324,3,FALSE)</f>
        <v>0150</v>
      </c>
    </row>
    <row r="15" spans="1:33" ht="22.5">
      <c r="A15" s="290">
        <v>52</v>
      </c>
      <c r="B15" s="288" t="str">
        <f t="shared" si="0"/>
        <v>Ostale pomoći</v>
      </c>
      <c r="C15" s="290">
        <v>3221</v>
      </c>
      <c r="D15" s="288" t="str">
        <f t="shared" si="1"/>
        <v>Uredski materijal i ostali materijalni rashodi</v>
      </c>
      <c r="E15" s="289" t="s">
        <v>2661</v>
      </c>
      <c r="F15" s="288" t="str">
        <f t="shared" si="2"/>
        <v>NOVI PODPROJEKT</v>
      </c>
      <c r="G15" s="288" t="str">
        <f t="shared" si="3"/>
        <v>NOVI PODPROJEKT</v>
      </c>
      <c r="H15" s="128">
        <v>0</v>
      </c>
      <c r="I15" s="128">
        <v>5972</v>
      </c>
      <c r="J15" s="128">
        <v>42</v>
      </c>
      <c r="K15" s="314" t="s">
        <v>2681</v>
      </c>
      <c r="L15" s="287" t="s">
        <v>2682</v>
      </c>
      <c r="M15" s="287" t="s">
        <v>2683</v>
      </c>
      <c r="N15" s="286" t="s">
        <v>2684</v>
      </c>
      <c r="O15" s="291" t="s">
        <v>2685</v>
      </c>
      <c r="P15" s="285"/>
      <c r="R15" s="283" t="str">
        <f t="shared" si="4"/>
        <v>322</v>
      </c>
      <c r="S15" s="283" t="str">
        <f t="shared" si="5"/>
        <v>32</v>
      </c>
      <c r="T15" s="283" t="str">
        <f t="shared" si="6"/>
        <v>OV</v>
      </c>
      <c r="U15" s="301">
        <v>552</v>
      </c>
      <c r="V15" s="301" t="s">
        <v>2651</v>
      </c>
      <c r="X15" s="283">
        <v>3213</v>
      </c>
      <c r="Y15" s="283" t="s">
        <v>228</v>
      </c>
      <c r="AA15" s="283" t="str">
        <f t="shared" si="7"/>
        <v>32</v>
      </c>
      <c r="AB15" s="283" t="str">
        <f t="shared" si="8"/>
        <v>321</v>
      </c>
      <c r="AD15" s="283" t="s">
        <v>2650</v>
      </c>
      <c r="AE15" s="283" t="s">
        <v>2649</v>
      </c>
      <c r="AF15" s="283" t="str">
        <f t="shared" si="9"/>
        <v>K578051</v>
      </c>
      <c r="AG15" s="283" t="str">
        <f>VLOOKUP(AF15,[2]AKT!$C$4:$E$324,3,FALSE)</f>
        <v>0150</v>
      </c>
    </row>
    <row r="16" spans="1:33" ht="22.5">
      <c r="A16" s="290">
        <v>52</v>
      </c>
      <c r="B16" s="288" t="str">
        <f t="shared" si="0"/>
        <v>Ostale pomoći</v>
      </c>
      <c r="C16" s="290">
        <v>3225</v>
      </c>
      <c r="D16" s="288" t="str">
        <f t="shared" si="1"/>
        <v>Sitni inventar i auto gume</v>
      </c>
      <c r="E16" s="289" t="s">
        <v>2661</v>
      </c>
      <c r="F16" s="288" t="str">
        <f t="shared" si="2"/>
        <v>NOVI PODPROJEKT</v>
      </c>
      <c r="G16" s="288" t="str">
        <f t="shared" si="3"/>
        <v>NOVI PODPROJEKT</v>
      </c>
      <c r="H16" s="128">
        <v>0</v>
      </c>
      <c r="I16" s="128">
        <v>796</v>
      </c>
      <c r="J16" s="128">
        <v>0</v>
      </c>
      <c r="K16" s="314" t="s">
        <v>2681</v>
      </c>
      <c r="L16" s="287" t="s">
        <v>2682</v>
      </c>
      <c r="M16" s="287" t="s">
        <v>2683</v>
      </c>
      <c r="N16" s="286" t="s">
        <v>2684</v>
      </c>
      <c r="O16" s="291" t="s">
        <v>2685</v>
      </c>
      <c r="P16" s="285"/>
      <c r="R16" s="283" t="str">
        <f t="shared" si="4"/>
        <v>322</v>
      </c>
      <c r="S16" s="283" t="str">
        <f t="shared" si="5"/>
        <v>32</v>
      </c>
      <c r="T16" s="283" t="str">
        <f t="shared" si="6"/>
        <v>OV</v>
      </c>
      <c r="U16" s="301">
        <v>559</v>
      </c>
      <c r="V16" s="301" t="s">
        <v>2648</v>
      </c>
      <c r="X16" s="283">
        <v>3214</v>
      </c>
      <c r="Y16" s="283" t="s">
        <v>2647</v>
      </c>
      <c r="AA16" s="283" t="str">
        <f t="shared" si="7"/>
        <v>32</v>
      </c>
      <c r="AB16" s="283" t="str">
        <f t="shared" si="8"/>
        <v>321</v>
      </c>
      <c r="AD16" s="283" t="s">
        <v>2646</v>
      </c>
      <c r="AE16" s="283" t="s">
        <v>2645</v>
      </c>
      <c r="AF16" s="283" t="str">
        <f t="shared" si="9"/>
        <v>K578051</v>
      </c>
      <c r="AG16" s="283" t="str">
        <f>VLOOKUP(AF16,[2]AKT!$C$4:$E$324,3,FALSE)</f>
        <v>0150</v>
      </c>
    </row>
    <row r="17" spans="1:33" ht="22.5">
      <c r="A17" s="290">
        <v>52</v>
      </c>
      <c r="B17" s="288" t="str">
        <f t="shared" si="0"/>
        <v>Ostale pomoći</v>
      </c>
      <c r="C17" s="290">
        <v>3235</v>
      </c>
      <c r="D17" s="288" t="str">
        <f t="shared" si="1"/>
        <v>Zakupnine i najamnine</v>
      </c>
      <c r="E17" s="289" t="s">
        <v>2661</v>
      </c>
      <c r="F17" s="288" t="str">
        <f t="shared" si="2"/>
        <v>NOVI PODPROJEKT</v>
      </c>
      <c r="G17" s="288" t="str">
        <f t="shared" si="3"/>
        <v>NOVI PODPROJEKT</v>
      </c>
      <c r="H17" s="128">
        <v>0</v>
      </c>
      <c r="I17" s="128">
        <v>9290</v>
      </c>
      <c r="J17" s="128">
        <v>3375</v>
      </c>
      <c r="K17" s="314" t="s">
        <v>2681</v>
      </c>
      <c r="L17" s="287" t="s">
        <v>2682</v>
      </c>
      <c r="M17" s="287" t="s">
        <v>2683</v>
      </c>
      <c r="N17" s="286" t="s">
        <v>2684</v>
      </c>
      <c r="O17" s="291" t="s">
        <v>2685</v>
      </c>
      <c r="P17" s="285"/>
      <c r="R17" s="283" t="str">
        <f t="shared" si="4"/>
        <v>323</v>
      </c>
      <c r="S17" s="283" t="str">
        <f t="shared" si="5"/>
        <v>32</v>
      </c>
      <c r="T17" s="283" t="str">
        <f t="shared" si="6"/>
        <v>OV</v>
      </c>
      <c r="U17" s="283">
        <v>561</v>
      </c>
      <c r="V17" s="283" t="s">
        <v>390</v>
      </c>
      <c r="X17" s="283">
        <v>3221</v>
      </c>
      <c r="Y17" s="283" t="s">
        <v>145</v>
      </c>
      <c r="AA17" s="283" t="str">
        <f t="shared" si="7"/>
        <v>32</v>
      </c>
      <c r="AB17" s="283" t="str">
        <f t="shared" si="8"/>
        <v>322</v>
      </c>
      <c r="AD17" s="283" t="s">
        <v>2644</v>
      </c>
      <c r="AE17" s="283" t="s">
        <v>2643</v>
      </c>
      <c r="AF17" s="283" t="str">
        <f t="shared" si="9"/>
        <v>K818050</v>
      </c>
      <c r="AG17" s="283" t="str">
        <f>VLOOKUP(AF17,[2]AKT!$C$4:$E$324,3,FALSE)</f>
        <v>0950</v>
      </c>
    </row>
    <row r="18" spans="1:33" ht="22.5">
      <c r="A18" s="290">
        <v>52</v>
      </c>
      <c r="B18" s="288" t="str">
        <f t="shared" si="0"/>
        <v>Ostale pomoći</v>
      </c>
      <c r="C18" s="290">
        <v>3239</v>
      </c>
      <c r="D18" s="288" t="str">
        <f t="shared" si="1"/>
        <v>Ostale usluge</v>
      </c>
      <c r="E18" s="289" t="s">
        <v>2661</v>
      </c>
      <c r="F18" s="288" t="str">
        <f t="shared" si="2"/>
        <v>NOVI PODPROJEKT</v>
      </c>
      <c r="G18" s="288" t="str">
        <f t="shared" si="3"/>
        <v>NOVI PODPROJEKT</v>
      </c>
      <c r="H18" s="128">
        <v>0</v>
      </c>
      <c r="I18" s="128">
        <v>133</v>
      </c>
      <c r="J18" s="128">
        <v>82</v>
      </c>
      <c r="K18" s="314" t="s">
        <v>2681</v>
      </c>
      <c r="L18" s="287" t="s">
        <v>2682</v>
      </c>
      <c r="M18" s="287" t="s">
        <v>2683</v>
      </c>
      <c r="N18" s="286" t="s">
        <v>2684</v>
      </c>
      <c r="O18" s="291" t="s">
        <v>2685</v>
      </c>
      <c r="P18" s="285"/>
      <c r="R18" s="283" t="str">
        <f t="shared" si="4"/>
        <v>323</v>
      </c>
      <c r="S18" s="283" t="str">
        <f t="shared" si="5"/>
        <v>32</v>
      </c>
      <c r="T18" s="283" t="str">
        <f t="shared" si="6"/>
        <v>OV</v>
      </c>
      <c r="U18" s="283">
        <v>563</v>
      </c>
      <c r="V18" s="283" t="s">
        <v>374</v>
      </c>
      <c r="X18" s="283">
        <v>3222</v>
      </c>
      <c r="Y18" s="283" t="s">
        <v>263</v>
      </c>
      <c r="AA18" s="283" t="str">
        <f t="shared" si="7"/>
        <v>32</v>
      </c>
      <c r="AB18" s="283" t="str">
        <f t="shared" si="8"/>
        <v>322</v>
      </c>
      <c r="AD18" s="283" t="s">
        <v>2642</v>
      </c>
      <c r="AE18" s="283" t="s">
        <v>2641</v>
      </c>
      <c r="AF18" s="283" t="str">
        <f t="shared" si="9"/>
        <v>K818050</v>
      </c>
      <c r="AG18" s="283" t="str">
        <f>VLOOKUP(AF18,[2]AKT!$C$4:$E$324,3,FALSE)</f>
        <v>0950</v>
      </c>
    </row>
    <row r="19" spans="1:33">
      <c r="A19" s="290">
        <v>52</v>
      </c>
      <c r="B19" s="288" t="str">
        <f t="shared" si="0"/>
        <v>Ostale pomoći</v>
      </c>
      <c r="C19" s="290">
        <v>3241</v>
      </c>
      <c r="D19" s="288" t="str">
        <f t="shared" si="1"/>
        <v>Naknade troškova osobama izvan radnog odnosa</v>
      </c>
      <c r="E19" s="289" t="s">
        <v>2661</v>
      </c>
      <c r="F19" s="288" t="str">
        <f t="shared" si="2"/>
        <v>NOVI PODPROJEKT</v>
      </c>
      <c r="G19" s="288" t="str">
        <f t="shared" si="3"/>
        <v>NOVI PODPROJEKT</v>
      </c>
      <c r="H19" s="128">
        <v>0</v>
      </c>
      <c r="I19" s="128">
        <v>0</v>
      </c>
      <c r="J19" s="128">
        <v>571</v>
      </c>
      <c r="K19" s="314"/>
      <c r="L19" s="287"/>
      <c r="M19" s="287"/>
      <c r="N19" s="286"/>
      <c r="O19" s="291"/>
      <c r="P19" s="285"/>
    </row>
    <row r="20" spans="1:33">
      <c r="A20" s="290">
        <v>52</v>
      </c>
      <c r="B20" s="288" t="str">
        <f t="shared" si="0"/>
        <v>Ostale pomoći</v>
      </c>
      <c r="C20" s="290">
        <v>3432</v>
      </c>
      <c r="D20" s="288" t="str">
        <f t="shared" si="1"/>
        <v>Negativne tečajne razlike i razlike zbog primjene valutne kl</v>
      </c>
      <c r="E20" s="289" t="s">
        <v>2661</v>
      </c>
      <c r="F20" s="288" t="str">
        <f t="shared" si="2"/>
        <v>NOVI PODPROJEKT</v>
      </c>
      <c r="G20" s="288" t="str">
        <f t="shared" si="3"/>
        <v>NOVI PODPROJEKT</v>
      </c>
      <c r="H20" s="128">
        <v>0</v>
      </c>
      <c r="I20" s="128">
        <v>0</v>
      </c>
      <c r="J20" s="128">
        <v>18</v>
      </c>
      <c r="K20" s="314"/>
      <c r="L20" s="287"/>
      <c r="M20" s="287"/>
      <c r="N20" s="286"/>
      <c r="O20" s="291"/>
      <c r="P20" s="285"/>
    </row>
    <row r="21" spans="1:33" ht="22.5">
      <c r="A21" s="290">
        <v>52</v>
      </c>
      <c r="B21" s="288" t="str">
        <f t="shared" si="0"/>
        <v>Ostale pomoći</v>
      </c>
      <c r="C21" s="290">
        <v>4224</v>
      </c>
      <c r="D21" s="288" t="str">
        <f t="shared" si="1"/>
        <v>Medicinska i laboratorijska oprema</v>
      </c>
      <c r="E21" s="289" t="s">
        <v>2661</v>
      </c>
      <c r="F21" s="288" t="str">
        <f t="shared" si="2"/>
        <v>NOVI PODPROJEKT</v>
      </c>
      <c r="G21" s="288" t="str">
        <f t="shared" si="3"/>
        <v>NOVI PODPROJEKT</v>
      </c>
      <c r="H21" s="128">
        <v>0</v>
      </c>
      <c r="I21" s="128">
        <v>41940</v>
      </c>
      <c r="J21" s="128">
        <v>0</v>
      </c>
      <c r="K21" s="314" t="s">
        <v>2681</v>
      </c>
      <c r="L21" s="287" t="s">
        <v>2682</v>
      </c>
      <c r="M21" s="287" t="s">
        <v>2683</v>
      </c>
      <c r="N21" s="286" t="s">
        <v>2684</v>
      </c>
      <c r="O21" s="291" t="s">
        <v>2685</v>
      </c>
      <c r="P21" s="285"/>
      <c r="R21" s="283" t="str">
        <f t="shared" ref="R21:R50" si="10">LEFT(C21,3)</f>
        <v>422</v>
      </c>
      <c r="S21" s="283" t="str">
        <f t="shared" ref="S21:S50" si="11">LEFT(C21,2)</f>
        <v>42</v>
      </c>
      <c r="T21" s="283" t="str">
        <f t="shared" ref="T21:T50" si="12">MID(G21,2,2)</f>
        <v>OV</v>
      </c>
      <c r="U21" s="283">
        <v>573</v>
      </c>
      <c r="V21" s="301" t="s">
        <v>2640</v>
      </c>
      <c r="X21" s="283">
        <v>3223</v>
      </c>
      <c r="Y21" s="283" t="s">
        <v>147</v>
      </c>
      <c r="AA21" s="283" t="str">
        <f t="shared" ref="AA21:AA50" si="13">LEFT(X21,2)</f>
        <v>32</v>
      </c>
      <c r="AB21" s="283" t="str">
        <f t="shared" ref="AB21:AB50" si="14">LEFT(X21,3)</f>
        <v>322</v>
      </c>
      <c r="AD21" s="283" t="s">
        <v>2639</v>
      </c>
      <c r="AE21" s="283" t="s">
        <v>2638</v>
      </c>
      <c r="AF21" s="283" t="str">
        <f t="shared" ref="AF21:AF50" si="15">LEFT(AD21,7)</f>
        <v>K818050</v>
      </c>
      <c r="AG21" s="283" t="str">
        <f>VLOOKUP(AF21,[2]AKT!$C$4:$E$324,3,FALSE)</f>
        <v>0950</v>
      </c>
    </row>
    <row r="22" spans="1:33">
      <c r="A22" s="290">
        <v>52</v>
      </c>
      <c r="B22" s="288" t="str">
        <f t="shared" si="0"/>
        <v>Ostale pomoći</v>
      </c>
      <c r="C22" s="290">
        <v>3211</v>
      </c>
      <c r="D22" s="288" t="str">
        <f t="shared" si="1"/>
        <v>Službena putovanja</v>
      </c>
      <c r="E22" s="289" t="s">
        <v>2519</v>
      </c>
      <c r="F22" s="288" t="str">
        <f t="shared" si="2"/>
        <v>ERASMUS+GAMe based learning in MAthematics</v>
      </c>
      <c r="G22" s="288" t="str">
        <f t="shared" si="3"/>
        <v>0942</v>
      </c>
      <c r="H22" s="128">
        <v>7326</v>
      </c>
      <c r="I22" s="128">
        <v>8218</v>
      </c>
      <c r="J22" s="128">
        <v>4233</v>
      </c>
      <c r="K22" s="286"/>
      <c r="L22" s="287"/>
      <c r="M22" s="287"/>
      <c r="N22" s="286"/>
      <c r="O22" s="291"/>
      <c r="P22" s="285"/>
      <c r="R22" s="283" t="str">
        <f t="shared" si="10"/>
        <v>321</v>
      </c>
      <c r="S22" s="283" t="str">
        <f t="shared" si="11"/>
        <v>32</v>
      </c>
      <c r="T22" s="283" t="str">
        <f t="shared" si="12"/>
        <v>94</v>
      </c>
      <c r="U22" s="301">
        <v>575</v>
      </c>
      <c r="V22" s="301" t="s">
        <v>2637</v>
      </c>
      <c r="X22" s="283">
        <v>3224</v>
      </c>
      <c r="Y22" s="283" t="s">
        <v>149</v>
      </c>
      <c r="AA22" s="283" t="str">
        <f t="shared" si="13"/>
        <v>32</v>
      </c>
      <c r="AB22" s="283" t="str">
        <f t="shared" si="14"/>
        <v>322</v>
      </c>
      <c r="AD22" s="283" t="s">
        <v>2636</v>
      </c>
      <c r="AE22" s="283" t="s">
        <v>2635</v>
      </c>
      <c r="AF22" s="283" t="str">
        <f t="shared" si="15"/>
        <v>K818050</v>
      </c>
      <c r="AG22" s="283" t="str">
        <f>VLOOKUP(AF22,[2]AKT!$C$4:$E$324,3,FALSE)</f>
        <v>0950</v>
      </c>
    </row>
    <row r="23" spans="1:33">
      <c r="A23" s="290">
        <v>52</v>
      </c>
      <c r="B23" s="288" t="str">
        <f t="shared" si="0"/>
        <v>Ostale pomoći</v>
      </c>
      <c r="C23" s="290">
        <v>3221</v>
      </c>
      <c r="D23" s="288" t="str">
        <f t="shared" si="1"/>
        <v>Uredski materijal i ostali materijalni rashodi</v>
      </c>
      <c r="E23" s="289" t="s">
        <v>2519</v>
      </c>
      <c r="F23" s="288" t="str">
        <f t="shared" si="2"/>
        <v>ERASMUS+GAMe based learning in MAthematics</v>
      </c>
      <c r="G23" s="288" t="str">
        <f t="shared" si="3"/>
        <v>0942</v>
      </c>
      <c r="H23" s="128"/>
      <c r="I23" s="128">
        <v>500</v>
      </c>
      <c r="J23" s="128"/>
      <c r="K23" s="286"/>
      <c r="L23" s="287"/>
      <c r="M23" s="287"/>
      <c r="N23" s="286"/>
      <c r="O23" s="291"/>
      <c r="P23" s="285"/>
      <c r="R23" s="283" t="str">
        <f t="shared" si="10"/>
        <v>322</v>
      </c>
      <c r="S23" s="283" t="str">
        <f t="shared" si="11"/>
        <v>32</v>
      </c>
      <c r="T23" s="283" t="str">
        <f t="shared" si="12"/>
        <v>94</v>
      </c>
      <c r="U23" s="300">
        <v>576</v>
      </c>
      <c r="V23" s="299" t="s">
        <v>2634</v>
      </c>
      <c r="X23" s="283">
        <v>3225</v>
      </c>
      <c r="Y23" s="283" t="s">
        <v>151</v>
      </c>
      <c r="AA23" s="283" t="str">
        <f t="shared" si="13"/>
        <v>32</v>
      </c>
      <c r="AB23" s="283" t="str">
        <f t="shared" si="14"/>
        <v>322</v>
      </c>
      <c r="AD23" s="283" t="s">
        <v>2633</v>
      </c>
      <c r="AE23" s="283" t="s">
        <v>766</v>
      </c>
      <c r="AF23" s="283" t="str">
        <f t="shared" si="15"/>
        <v>K818050</v>
      </c>
      <c r="AG23" s="283" t="str">
        <f>VLOOKUP(AF23,[2]AKT!$C$4:$E$324,3,FALSE)</f>
        <v>0950</v>
      </c>
    </row>
    <row r="24" spans="1:33">
      <c r="A24" s="290">
        <v>52</v>
      </c>
      <c r="B24" s="288" t="str">
        <f t="shared" si="0"/>
        <v>Ostale pomoći</v>
      </c>
      <c r="C24" s="290">
        <v>3239</v>
      </c>
      <c r="D24" s="288" t="str">
        <f t="shared" si="1"/>
        <v>Ostale usluge</v>
      </c>
      <c r="E24" s="289" t="s">
        <v>2519</v>
      </c>
      <c r="F24" s="288" t="str">
        <f t="shared" si="2"/>
        <v>ERASMUS+GAMe based learning in MAthematics</v>
      </c>
      <c r="G24" s="288" t="str">
        <f t="shared" si="3"/>
        <v>0942</v>
      </c>
      <c r="H24" s="128"/>
      <c r="I24" s="128">
        <v>900</v>
      </c>
      <c r="J24" s="128"/>
      <c r="K24" s="286"/>
      <c r="L24" s="287"/>
      <c r="M24" s="287"/>
      <c r="N24" s="286"/>
      <c r="O24" s="291"/>
      <c r="P24" s="285"/>
      <c r="R24" s="283" t="str">
        <f t="shared" si="10"/>
        <v>323</v>
      </c>
      <c r="S24" s="283" t="str">
        <f t="shared" si="11"/>
        <v>32</v>
      </c>
      <c r="T24" s="283" t="str">
        <f t="shared" si="12"/>
        <v>94</v>
      </c>
      <c r="U24" s="298">
        <v>581</v>
      </c>
      <c r="V24" s="297" t="s">
        <v>380</v>
      </c>
      <c r="X24" s="283">
        <v>3226</v>
      </c>
      <c r="Y24" s="283" t="s">
        <v>2632</v>
      </c>
      <c r="AA24" s="283" t="str">
        <f t="shared" si="13"/>
        <v>32</v>
      </c>
      <c r="AB24" s="283" t="str">
        <f t="shared" si="14"/>
        <v>322</v>
      </c>
      <c r="AD24" s="283" t="s">
        <v>2631</v>
      </c>
      <c r="AE24" s="283" t="s">
        <v>764</v>
      </c>
      <c r="AF24" s="283" t="str">
        <f t="shared" si="15"/>
        <v>K818050</v>
      </c>
      <c r="AG24" s="283" t="str">
        <f>VLOOKUP(AF24,[2]AKT!$C$4:$E$324,3,FALSE)</f>
        <v>0950</v>
      </c>
    </row>
    <row r="25" spans="1:33">
      <c r="A25" s="290">
        <v>52</v>
      </c>
      <c r="B25" s="288" t="str">
        <f t="shared" si="0"/>
        <v>Ostale pomoći</v>
      </c>
      <c r="C25" s="290">
        <v>3293</v>
      </c>
      <c r="D25" s="288" t="str">
        <f t="shared" si="1"/>
        <v>Reprezentacija</v>
      </c>
      <c r="E25" s="289" t="s">
        <v>2519</v>
      </c>
      <c r="F25" s="288" t="str">
        <f t="shared" si="2"/>
        <v>ERASMUS+GAMe based learning in MAthematics</v>
      </c>
      <c r="G25" s="288" t="str">
        <f t="shared" si="3"/>
        <v>0942</v>
      </c>
      <c r="H25" s="128"/>
      <c r="I25" s="128">
        <v>3000</v>
      </c>
      <c r="J25" s="128"/>
      <c r="K25" s="286"/>
      <c r="L25" s="287"/>
      <c r="M25" s="287"/>
      <c r="N25" s="286"/>
      <c r="O25" s="291"/>
      <c r="P25" s="285"/>
      <c r="R25" s="283" t="str">
        <f t="shared" si="10"/>
        <v>329</v>
      </c>
      <c r="S25" s="283" t="str">
        <f t="shared" si="11"/>
        <v>32</v>
      </c>
      <c r="T25" s="283" t="str">
        <f t="shared" si="12"/>
        <v>94</v>
      </c>
      <c r="U25" s="283">
        <v>61</v>
      </c>
      <c r="V25" s="283" t="s">
        <v>276</v>
      </c>
      <c r="X25" s="283">
        <v>3227</v>
      </c>
      <c r="Y25" s="283" t="s">
        <v>153</v>
      </c>
      <c r="AA25" s="283" t="str">
        <f t="shared" si="13"/>
        <v>32</v>
      </c>
      <c r="AB25" s="283" t="str">
        <f t="shared" si="14"/>
        <v>322</v>
      </c>
      <c r="AD25" s="283" t="s">
        <v>2630</v>
      </c>
      <c r="AE25" s="283" t="s">
        <v>762</v>
      </c>
      <c r="AF25" s="283" t="str">
        <f t="shared" si="15"/>
        <v>K818050</v>
      </c>
      <c r="AG25" s="283" t="str">
        <f>VLOOKUP(AF25,[2]AKT!$C$4:$E$324,3,FALSE)</f>
        <v>0950</v>
      </c>
    </row>
    <row r="26" spans="1:33">
      <c r="A26" s="290">
        <v>52</v>
      </c>
      <c r="B26" s="288" t="str">
        <f t="shared" si="0"/>
        <v>Ostale pomoći</v>
      </c>
      <c r="C26" s="290">
        <v>3237</v>
      </c>
      <c r="D26" s="288" t="str">
        <f t="shared" si="1"/>
        <v>Intelektualne i osobne usluge</v>
      </c>
      <c r="E26" s="289" t="s">
        <v>2519</v>
      </c>
      <c r="F26" s="288" t="str">
        <f t="shared" si="2"/>
        <v>ERASMUS+GAMe based learning in MAthematics</v>
      </c>
      <c r="G26" s="288" t="str">
        <f t="shared" si="3"/>
        <v>0942</v>
      </c>
      <c r="H26" s="128">
        <v>231</v>
      </c>
      <c r="I26" s="128">
        <v>1000</v>
      </c>
      <c r="J26" s="128"/>
      <c r="K26" s="286"/>
      <c r="L26" s="287"/>
      <c r="M26" s="287"/>
      <c r="N26" s="286"/>
      <c r="O26" s="291"/>
      <c r="P26" s="285"/>
      <c r="R26" s="283" t="str">
        <f t="shared" si="10"/>
        <v>323</v>
      </c>
      <c r="S26" s="283" t="str">
        <f t="shared" si="11"/>
        <v>32</v>
      </c>
      <c r="T26" s="283" t="str">
        <f t="shared" si="12"/>
        <v>94</v>
      </c>
      <c r="U26" s="283">
        <v>71</v>
      </c>
      <c r="V26" s="283" t="s">
        <v>387</v>
      </c>
      <c r="X26" s="283">
        <v>3231</v>
      </c>
      <c r="Y26" s="283" t="s">
        <v>157</v>
      </c>
      <c r="AA26" s="283" t="str">
        <f t="shared" si="13"/>
        <v>32</v>
      </c>
      <c r="AB26" s="283" t="str">
        <f t="shared" si="14"/>
        <v>323</v>
      </c>
      <c r="AD26" s="283" t="s">
        <v>2629</v>
      </c>
      <c r="AE26" s="283" t="s">
        <v>2628</v>
      </c>
      <c r="AF26" s="283" t="str">
        <f t="shared" si="15"/>
        <v>K818050</v>
      </c>
      <c r="AG26" s="283" t="str">
        <f>VLOOKUP(AF26,[2]AKT!$C$4:$E$324,3,FALSE)</f>
        <v>0950</v>
      </c>
    </row>
    <row r="27" spans="1:33">
      <c r="A27" s="290">
        <v>52</v>
      </c>
      <c r="B27" s="288" t="str">
        <f t="shared" si="0"/>
        <v>Ostale pomoći</v>
      </c>
      <c r="C27" s="290">
        <v>3239</v>
      </c>
      <c r="D27" s="288" t="str">
        <f t="shared" si="1"/>
        <v>Ostale usluge</v>
      </c>
      <c r="E27" s="289" t="s">
        <v>2519</v>
      </c>
      <c r="F27" s="288" t="str">
        <f t="shared" si="2"/>
        <v>ERASMUS+GAMe based learning in MAthematics</v>
      </c>
      <c r="G27" s="288" t="str">
        <f t="shared" ref="G27:G29" si="16">IFERROR(VLOOKUP(E27,$AD$6:$AG$1105,4,FALSE),"")</f>
        <v>0942</v>
      </c>
      <c r="H27" s="128">
        <v>833</v>
      </c>
      <c r="I27" s="128">
        <v>0</v>
      </c>
      <c r="J27" s="128"/>
      <c r="K27" s="286"/>
      <c r="L27" s="287"/>
      <c r="M27" s="287"/>
      <c r="N27" s="286"/>
      <c r="O27" s="291"/>
      <c r="P27" s="285"/>
      <c r="R27" s="283" t="str">
        <f t="shared" si="10"/>
        <v>323</v>
      </c>
      <c r="S27" s="283" t="str">
        <f t="shared" si="11"/>
        <v>32</v>
      </c>
    </row>
    <row r="28" spans="1:33">
      <c r="A28" s="290">
        <v>52</v>
      </c>
      <c r="B28" s="288" t="str">
        <f t="shared" si="0"/>
        <v>Ostale pomoći</v>
      </c>
      <c r="C28" s="290">
        <v>3292</v>
      </c>
      <c r="D28" s="288" t="str">
        <f t="shared" si="1"/>
        <v>Premije osiguranja</v>
      </c>
      <c r="E28" s="289" t="s">
        <v>2519</v>
      </c>
      <c r="F28" s="288" t="str">
        <f t="shared" si="2"/>
        <v>ERASMUS+GAMe based learning in MAthematics</v>
      </c>
      <c r="G28" s="288" t="str">
        <f t="shared" si="16"/>
        <v>0942</v>
      </c>
      <c r="H28" s="128">
        <v>201</v>
      </c>
      <c r="I28" s="128">
        <v>0</v>
      </c>
      <c r="J28" s="128"/>
      <c r="K28" s="286"/>
      <c r="L28" s="287"/>
      <c r="M28" s="287"/>
      <c r="N28" s="286"/>
      <c r="O28" s="291"/>
      <c r="P28" s="285"/>
      <c r="R28" s="283" t="str">
        <f t="shared" si="10"/>
        <v>329</v>
      </c>
      <c r="S28" s="283" t="str">
        <f t="shared" si="11"/>
        <v>32</v>
      </c>
    </row>
    <row r="29" spans="1:33">
      <c r="A29" s="290">
        <v>52</v>
      </c>
      <c r="B29" s="288" t="str">
        <f t="shared" si="0"/>
        <v>Ostale pomoći</v>
      </c>
      <c r="C29" s="290">
        <v>3293</v>
      </c>
      <c r="D29" s="288" t="str">
        <f t="shared" si="1"/>
        <v>Reprezentacija</v>
      </c>
      <c r="E29" s="289" t="s">
        <v>2519</v>
      </c>
      <c r="F29" s="288" t="str">
        <f t="shared" si="2"/>
        <v>ERASMUS+GAMe based learning in MAthematics</v>
      </c>
      <c r="G29" s="288" t="str">
        <f t="shared" si="16"/>
        <v>0942</v>
      </c>
      <c r="H29" s="128">
        <v>2235</v>
      </c>
      <c r="I29" s="128">
        <v>0</v>
      </c>
      <c r="J29" s="128"/>
      <c r="K29" s="286"/>
      <c r="L29" s="287"/>
      <c r="M29" s="287"/>
      <c r="N29" s="286"/>
      <c r="O29" s="291"/>
      <c r="P29" s="285"/>
      <c r="R29" s="283" t="str">
        <f t="shared" si="10"/>
        <v>329</v>
      </c>
      <c r="S29" s="283" t="str">
        <f t="shared" si="11"/>
        <v>32</v>
      </c>
    </row>
    <row r="30" spans="1:33">
      <c r="A30" s="290">
        <v>52</v>
      </c>
      <c r="B30" s="288" t="str">
        <f t="shared" si="0"/>
        <v>Ostale pomoći</v>
      </c>
      <c r="C30" s="290">
        <v>3294</v>
      </c>
      <c r="D30" s="288" t="str">
        <f t="shared" si="1"/>
        <v>Članarine i norme</v>
      </c>
      <c r="E30" s="289" t="s">
        <v>2519</v>
      </c>
      <c r="F30" s="288" t="str">
        <f t="shared" si="2"/>
        <v>ERASMUS+GAMe based learning in MAthematics</v>
      </c>
      <c r="G30" s="288" t="str">
        <f t="shared" ref="G30" si="17">IFERROR(VLOOKUP(E30,$AD$6:$AG$1105,4,FALSE),"")</f>
        <v>0942</v>
      </c>
      <c r="H30" s="128">
        <v>124</v>
      </c>
      <c r="I30" s="128">
        <v>0</v>
      </c>
      <c r="J30" s="128"/>
      <c r="K30" s="286"/>
      <c r="L30" s="287"/>
      <c r="M30" s="287"/>
      <c r="N30" s="286"/>
      <c r="O30" s="291"/>
      <c r="P30" s="285"/>
      <c r="R30" s="283" t="str">
        <f t="shared" si="10"/>
        <v>329</v>
      </c>
      <c r="S30" s="283" t="str">
        <f t="shared" si="11"/>
        <v>32</v>
      </c>
    </row>
    <row r="31" spans="1:33">
      <c r="A31" s="290">
        <v>52</v>
      </c>
      <c r="B31" s="288" t="str">
        <f t="shared" si="0"/>
        <v>Ostale pomoći</v>
      </c>
      <c r="C31" s="290">
        <v>3299</v>
      </c>
      <c r="D31" s="288" t="str">
        <f t="shared" si="1"/>
        <v>Ostali nespomenuti rashodi poslovanja</v>
      </c>
      <c r="E31" s="289" t="s">
        <v>2519</v>
      </c>
      <c r="F31" s="288" t="str">
        <f t="shared" si="2"/>
        <v>ERASMUS+GAMe based learning in MAthematics</v>
      </c>
      <c r="G31" s="288" t="str">
        <f t="shared" si="3"/>
        <v>0942</v>
      </c>
      <c r="H31" s="128"/>
      <c r="I31" s="128">
        <v>1600</v>
      </c>
      <c r="J31" s="128"/>
      <c r="K31" s="286"/>
      <c r="L31" s="287"/>
      <c r="M31" s="287"/>
      <c r="N31" s="286"/>
      <c r="O31" s="291"/>
      <c r="P31" s="285"/>
      <c r="R31" s="283" t="str">
        <f t="shared" si="10"/>
        <v>329</v>
      </c>
      <c r="S31" s="283" t="str">
        <f t="shared" si="11"/>
        <v>32</v>
      </c>
      <c r="T31" s="283" t="str">
        <f t="shared" si="12"/>
        <v>94</v>
      </c>
      <c r="U31" s="283">
        <v>81</v>
      </c>
      <c r="V31" s="283" t="s">
        <v>425</v>
      </c>
      <c r="X31" s="283">
        <v>3232</v>
      </c>
      <c r="Y31" s="283" t="s">
        <v>159</v>
      </c>
      <c r="AA31" s="283" t="str">
        <f t="shared" si="13"/>
        <v>32</v>
      </c>
      <c r="AB31" s="283" t="str">
        <f t="shared" si="14"/>
        <v>323</v>
      </c>
      <c r="AD31" s="283" t="s">
        <v>2627</v>
      </c>
      <c r="AE31" s="283" t="s">
        <v>2626</v>
      </c>
      <c r="AF31" s="283" t="str">
        <f t="shared" si="15"/>
        <v>K818050</v>
      </c>
      <c r="AG31" s="283" t="str">
        <f>VLOOKUP(AF31,[2]AKT!$C$4:$E$324,3,FALSE)</f>
        <v>0950</v>
      </c>
    </row>
    <row r="32" spans="1:33">
      <c r="A32" s="290">
        <v>52</v>
      </c>
      <c r="B32" s="288" t="str">
        <f t="shared" si="0"/>
        <v>Ostale pomoći</v>
      </c>
      <c r="C32" s="290">
        <v>3431</v>
      </c>
      <c r="D32" s="288" t="str">
        <f t="shared" si="1"/>
        <v>Bankarske usluge i usluge platnog prometa</v>
      </c>
      <c r="E32" s="289" t="s">
        <v>2519</v>
      </c>
      <c r="F32" s="288" t="str">
        <f t="shared" si="2"/>
        <v>ERASMUS+GAMe based learning in MAthematics</v>
      </c>
      <c r="G32" s="288" t="str">
        <f t="shared" si="3"/>
        <v>0942</v>
      </c>
      <c r="H32" s="128">
        <v>1</v>
      </c>
      <c r="I32" s="128"/>
      <c r="J32" s="128"/>
      <c r="K32" s="286"/>
      <c r="L32" s="287"/>
      <c r="M32" s="287"/>
      <c r="N32" s="286"/>
      <c r="O32" s="291"/>
      <c r="P32" s="285"/>
    </row>
    <row r="33" spans="1:33">
      <c r="A33" s="290">
        <v>52</v>
      </c>
      <c r="B33" s="288" t="str">
        <f t="shared" si="0"/>
        <v>Ostale pomoći</v>
      </c>
      <c r="C33" s="290">
        <v>3432</v>
      </c>
      <c r="D33" s="288" t="str">
        <f t="shared" si="1"/>
        <v>Negativne tečajne razlike i razlike zbog primjene valutne kl</v>
      </c>
      <c r="E33" s="289" t="s">
        <v>2519</v>
      </c>
      <c r="F33" s="288" t="str">
        <f t="shared" si="2"/>
        <v>ERASMUS+GAMe based learning in MAthematics</v>
      </c>
      <c r="G33" s="288" t="str">
        <f t="shared" si="3"/>
        <v>0942</v>
      </c>
      <c r="H33" s="128">
        <v>230</v>
      </c>
      <c r="I33" s="128"/>
      <c r="J33" s="128"/>
      <c r="K33" s="286"/>
      <c r="L33" s="287"/>
      <c r="M33" s="287"/>
      <c r="N33" s="286"/>
      <c r="O33" s="291"/>
      <c r="P33" s="285"/>
    </row>
    <row r="34" spans="1:33">
      <c r="A34" s="290">
        <v>52</v>
      </c>
      <c r="B34" s="288" t="str">
        <f t="shared" si="0"/>
        <v>Ostale pomoći</v>
      </c>
      <c r="C34" s="290">
        <v>3611</v>
      </c>
      <c r="D34" s="288" t="str">
        <f t="shared" si="1"/>
        <v>Tekuće pomoći inozemnim vladama</v>
      </c>
      <c r="E34" s="289" t="s">
        <v>2519</v>
      </c>
      <c r="F34" s="288" t="str">
        <f t="shared" si="2"/>
        <v>ERASMUS+GAMe based learning in MAthematics</v>
      </c>
      <c r="G34" s="288" t="str">
        <f t="shared" ref="G34" si="18">IFERROR(VLOOKUP(E34,$AD$6:$AG$1105,4,FALSE),"")</f>
        <v>0942</v>
      </c>
      <c r="H34" s="128">
        <v>17429</v>
      </c>
      <c r="I34" s="128"/>
      <c r="J34" s="128"/>
      <c r="K34" s="286"/>
      <c r="L34" s="287"/>
      <c r="M34" s="287"/>
      <c r="N34" s="286"/>
      <c r="O34" s="291"/>
      <c r="P34" s="285"/>
    </row>
    <row r="35" spans="1:33">
      <c r="A35" s="290">
        <v>12</v>
      </c>
      <c r="B35" s="288" t="str">
        <f t="shared" si="0"/>
        <v>Sredstva učešća za pomoći</v>
      </c>
      <c r="C35" s="290">
        <v>4212</v>
      </c>
      <c r="D35" s="288" t="str">
        <f t="shared" si="1"/>
        <v>Poslovni objekti</v>
      </c>
      <c r="E35" s="289" t="s">
        <v>774</v>
      </c>
      <c r="F35" s="288" t="str">
        <f t="shared" si="2"/>
        <v>Ulaganje u organizacijsku reformu i infrastrukturu sektora istraživanja, razvoja i inovacija</v>
      </c>
      <c r="G35" s="288" t="str">
        <f t="shared" si="3"/>
        <v>0942</v>
      </c>
      <c r="H35" s="128">
        <v>43216</v>
      </c>
      <c r="I35" s="128">
        <v>85930</v>
      </c>
      <c r="J35" s="128"/>
      <c r="K35" s="128"/>
      <c r="L35" s="287" t="s">
        <v>2686</v>
      </c>
      <c r="M35" s="287" t="s">
        <v>2687</v>
      </c>
      <c r="N35" s="286" t="s">
        <v>2688</v>
      </c>
      <c r="O35" s="291" t="s">
        <v>2689</v>
      </c>
      <c r="P35" s="285"/>
      <c r="R35" s="283" t="str">
        <f t="shared" si="10"/>
        <v>421</v>
      </c>
      <c r="S35" s="283" t="str">
        <f t="shared" si="11"/>
        <v>42</v>
      </c>
      <c r="T35" s="283" t="str">
        <f t="shared" si="12"/>
        <v>94</v>
      </c>
      <c r="U35" s="296">
        <v>83</v>
      </c>
      <c r="V35" s="296" t="s">
        <v>2625</v>
      </c>
      <c r="X35" s="283">
        <v>3233</v>
      </c>
      <c r="Y35" s="283" t="s">
        <v>161</v>
      </c>
      <c r="AA35" s="283" t="str">
        <f t="shared" si="13"/>
        <v>32</v>
      </c>
      <c r="AB35" s="283" t="str">
        <f t="shared" si="14"/>
        <v>323</v>
      </c>
      <c r="AD35" s="283" t="s">
        <v>2624</v>
      </c>
      <c r="AE35" s="283" t="s">
        <v>1862</v>
      </c>
      <c r="AF35" s="283" t="str">
        <f t="shared" si="15"/>
        <v>K818050</v>
      </c>
      <c r="AG35" s="283" t="str">
        <f>VLOOKUP(AF35,[2]AKT!$C$4:$E$324,3,FALSE)</f>
        <v>0950</v>
      </c>
    </row>
    <row r="36" spans="1:33">
      <c r="A36" s="290">
        <v>563</v>
      </c>
      <c r="B36" s="288" t="str">
        <f t="shared" si="0"/>
        <v>Europski fond za regionalni razvoj (ERDF)</v>
      </c>
      <c r="C36" s="290">
        <v>4212</v>
      </c>
      <c r="D36" s="288" t="str">
        <f t="shared" si="1"/>
        <v>Poslovni objekti</v>
      </c>
      <c r="E36" s="289" t="s">
        <v>774</v>
      </c>
      <c r="F36" s="288" t="str">
        <f t="shared" si="2"/>
        <v>Ulaganje u organizacijsku reformu i infrastrukturu sektora istraživanja, razvoja i inovacija</v>
      </c>
      <c r="G36" s="288" t="str">
        <f t="shared" si="3"/>
        <v>0942</v>
      </c>
      <c r="H36" s="128"/>
      <c r="I36" s="128">
        <v>607543</v>
      </c>
      <c r="J36" s="128"/>
      <c r="K36" s="128"/>
      <c r="L36" s="287" t="s">
        <v>2686</v>
      </c>
      <c r="M36" s="287" t="s">
        <v>2687</v>
      </c>
      <c r="N36" s="286" t="s">
        <v>2688</v>
      </c>
      <c r="O36" s="291" t="s">
        <v>2689</v>
      </c>
      <c r="P36" s="285"/>
      <c r="R36" s="283" t="str">
        <f t="shared" si="10"/>
        <v>421</v>
      </c>
      <c r="S36" s="283" t="str">
        <f t="shared" si="11"/>
        <v>42</v>
      </c>
      <c r="T36" s="283" t="str">
        <f t="shared" si="12"/>
        <v>94</v>
      </c>
      <c r="X36" s="283">
        <v>3234</v>
      </c>
      <c r="Y36" s="283" t="s">
        <v>163</v>
      </c>
      <c r="AA36" s="283" t="str">
        <f t="shared" si="13"/>
        <v>32</v>
      </c>
      <c r="AB36" s="283" t="str">
        <f t="shared" si="14"/>
        <v>323</v>
      </c>
      <c r="AD36" s="283" t="s">
        <v>2623</v>
      </c>
      <c r="AE36" s="283" t="s">
        <v>2622</v>
      </c>
      <c r="AF36" s="283" t="str">
        <f t="shared" si="15"/>
        <v>K818050</v>
      </c>
      <c r="AG36" s="283" t="str">
        <f>VLOOKUP(AF36,[2]AKT!$C$4:$E$324,3,FALSE)</f>
        <v>0950</v>
      </c>
    </row>
    <row r="37" spans="1:33">
      <c r="A37" s="290">
        <v>563</v>
      </c>
      <c r="B37" s="288" t="str">
        <f t="shared" si="0"/>
        <v>Europski fond za regionalni razvoj (ERDF)</v>
      </c>
      <c r="C37" s="290">
        <v>3237</v>
      </c>
      <c r="D37" s="288" t="str">
        <f t="shared" si="1"/>
        <v>Intelektualne i osobne usluge</v>
      </c>
      <c r="E37" s="289" t="s">
        <v>774</v>
      </c>
      <c r="F37" s="288" t="str">
        <f t="shared" si="2"/>
        <v>Ulaganje u organizacijsku reformu i infrastrukturu sektora istraživanja, razvoja i inovacija</v>
      </c>
      <c r="G37" s="288" t="str">
        <f t="shared" si="3"/>
        <v>0942</v>
      </c>
      <c r="H37" s="128"/>
      <c r="I37" s="128">
        <v>25965</v>
      </c>
      <c r="J37" s="128"/>
      <c r="K37" s="128"/>
      <c r="L37" s="287" t="s">
        <v>2686</v>
      </c>
      <c r="M37" s="287" t="s">
        <v>2687</v>
      </c>
      <c r="N37" s="286" t="s">
        <v>2688</v>
      </c>
      <c r="O37" s="291" t="s">
        <v>2689</v>
      </c>
      <c r="P37" s="285"/>
      <c r="R37" s="283" t="str">
        <f t="shared" si="10"/>
        <v>323</v>
      </c>
      <c r="S37" s="283" t="str">
        <f t="shared" si="11"/>
        <v>32</v>
      </c>
      <c r="T37" s="283" t="str">
        <f t="shared" si="12"/>
        <v>94</v>
      </c>
      <c r="X37" s="283">
        <v>3235</v>
      </c>
      <c r="Y37" s="283" t="s">
        <v>165</v>
      </c>
      <c r="AA37" s="283" t="str">
        <f t="shared" si="13"/>
        <v>32</v>
      </c>
      <c r="AB37" s="283" t="str">
        <f t="shared" si="14"/>
        <v>323</v>
      </c>
      <c r="AD37" s="283" t="s">
        <v>2621</v>
      </c>
      <c r="AE37" s="283" t="s">
        <v>2620</v>
      </c>
      <c r="AF37" s="283" t="str">
        <f t="shared" si="15"/>
        <v>K818050</v>
      </c>
      <c r="AG37" s="283" t="str">
        <f>VLOOKUP(AF37,[2]AKT!$C$4:$E$324,3,FALSE)</f>
        <v>0950</v>
      </c>
    </row>
    <row r="38" spans="1:33">
      <c r="A38" s="290">
        <v>12</v>
      </c>
      <c r="B38" s="288" t="str">
        <f t="shared" si="0"/>
        <v>Sredstva učešća za pomoći</v>
      </c>
      <c r="C38" s="290">
        <v>3237</v>
      </c>
      <c r="D38" s="288" t="str">
        <f t="shared" si="1"/>
        <v>Intelektualne i osobne usluge</v>
      </c>
      <c r="E38" s="289" t="s">
        <v>774</v>
      </c>
      <c r="F38" s="288" t="str">
        <f t="shared" si="2"/>
        <v>Ulaganje u organizacijsku reformu i infrastrukturu sektora istraživanja, razvoja i inovacija</v>
      </c>
      <c r="G38" s="288" t="str">
        <f t="shared" si="3"/>
        <v>0942</v>
      </c>
      <c r="H38" s="128">
        <v>707</v>
      </c>
      <c r="I38" s="128">
        <v>25865</v>
      </c>
      <c r="J38" s="128"/>
      <c r="K38" s="286"/>
      <c r="L38" s="287" t="s">
        <v>2686</v>
      </c>
      <c r="M38" s="287" t="s">
        <v>2687</v>
      </c>
      <c r="N38" s="286" t="s">
        <v>2688</v>
      </c>
      <c r="O38" s="291" t="s">
        <v>2689</v>
      </c>
      <c r="P38" s="285"/>
      <c r="R38" s="283" t="str">
        <f t="shared" si="10"/>
        <v>323</v>
      </c>
      <c r="S38" s="283" t="str">
        <f t="shared" si="11"/>
        <v>32</v>
      </c>
      <c r="T38" s="283" t="str">
        <f t="shared" si="12"/>
        <v>94</v>
      </c>
      <c r="X38" s="283">
        <v>3236</v>
      </c>
      <c r="Y38" s="283" t="s">
        <v>167</v>
      </c>
      <c r="AA38" s="283" t="str">
        <f t="shared" si="13"/>
        <v>32</v>
      </c>
      <c r="AB38" s="283" t="str">
        <f t="shared" si="14"/>
        <v>323</v>
      </c>
      <c r="AD38" s="283" t="s">
        <v>2619</v>
      </c>
      <c r="AE38" s="283" t="s">
        <v>464</v>
      </c>
      <c r="AF38" s="283" t="str">
        <f t="shared" si="15"/>
        <v>K818050</v>
      </c>
      <c r="AG38" s="283" t="str">
        <f>VLOOKUP(AF38,[2]AKT!$C$4:$E$324,3,FALSE)</f>
        <v>0950</v>
      </c>
    </row>
    <row r="39" spans="1:33">
      <c r="A39" s="290">
        <v>563</v>
      </c>
      <c r="B39" s="288" t="str">
        <f t="shared" si="0"/>
        <v>Europski fond za regionalni razvoj (ERDF)</v>
      </c>
      <c r="C39" s="290">
        <v>3693</v>
      </c>
      <c r="D39" s="288" t="str">
        <f t="shared" si="1"/>
        <v>Tekući prijenosi između proračunskih korisnika istog proraču</v>
      </c>
      <c r="E39" s="289" t="s">
        <v>775</v>
      </c>
      <c r="F39" s="288" t="str">
        <f t="shared" si="2"/>
        <v>Vrhunska istraživanja Znanstvenih centara izvrsnosti</v>
      </c>
      <c r="G39" s="288" t="str">
        <f t="shared" si="3"/>
        <v>0942</v>
      </c>
      <c r="H39" s="128"/>
      <c r="I39" s="128">
        <v>265446</v>
      </c>
      <c r="J39" s="128">
        <v>96700</v>
      </c>
      <c r="K39" s="286"/>
      <c r="L39" s="287" t="s">
        <v>2690</v>
      </c>
      <c r="M39" s="287" t="s">
        <v>2687</v>
      </c>
      <c r="N39" s="286" t="s">
        <v>2688</v>
      </c>
      <c r="O39" s="291" t="s">
        <v>2691</v>
      </c>
      <c r="P39" s="285"/>
      <c r="R39" s="283" t="str">
        <f t="shared" si="10"/>
        <v>369</v>
      </c>
      <c r="S39" s="283" t="str">
        <f t="shared" si="11"/>
        <v>36</v>
      </c>
      <c r="T39" s="283" t="str">
        <f t="shared" si="12"/>
        <v>94</v>
      </c>
      <c r="X39" s="283">
        <v>3237</v>
      </c>
      <c r="Y39" s="283" t="s">
        <v>169</v>
      </c>
      <c r="AA39" s="283" t="str">
        <f t="shared" si="13"/>
        <v>32</v>
      </c>
      <c r="AB39" s="283" t="str">
        <f t="shared" si="14"/>
        <v>323</v>
      </c>
      <c r="AD39" s="283" t="s">
        <v>2618</v>
      </c>
      <c r="AE39" s="283" t="s">
        <v>462</v>
      </c>
      <c r="AF39" s="283" t="str">
        <f t="shared" si="15"/>
        <v>K818050</v>
      </c>
      <c r="AG39" s="283" t="str">
        <f>VLOOKUP(AF39,[2]AKT!$C$4:$E$324,3,FALSE)</f>
        <v>0950</v>
      </c>
    </row>
    <row r="40" spans="1:33">
      <c r="A40" s="290">
        <v>563</v>
      </c>
      <c r="B40" s="288" t="str">
        <f t="shared" si="0"/>
        <v>Europski fond za regionalni razvoj (ERDF)</v>
      </c>
      <c r="C40" s="290">
        <v>3693</v>
      </c>
      <c r="D40" s="288" t="str">
        <f t="shared" si="1"/>
        <v>Tekući prijenosi između proračunskih korisnika istog proraču</v>
      </c>
      <c r="E40" s="289" t="s">
        <v>775</v>
      </c>
      <c r="F40" s="288" t="str">
        <f t="shared" si="2"/>
        <v>Vrhunska istraživanja Znanstvenih centara izvrsnosti</v>
      </c>
      <c r="G40" s="288" t="str">
        <f t="shared" si="3"/>
        <v>0942</v>
      </c>
      <c r="H40" s="128"/>
      <c r="I40" s="128">
        <v>301944</v>
      </c>
      <c r="J40" s="128"/>
      <c r="K40" s="286"/>
      <c r="L40" s="287" t="s">
        <v>2690</v>
      </c>
      <c r="M40" s="287" t="s">
        <v>2687</v>
      </c>
      <c r="N40" s="286" t="s">
        <v>2688</v>
      </c>
      <c r="O40" s="291" t="s">
        <v>2691</v>
      </c>
      <c r="P40" s="285"/>
      <c r="R40" s="283" t="str">
        <f t="shared" si="10"/>
        <v>369</v>
      </c>
      <c r="S40" s="283" t="str">
        <f t="shared" si="11"/>
        <v>36</v>
      </c>
      <c r="T40" s="283" t="str">
        <f t="shared" si="12"/>
        <v>94</v>
      </c>
      <c r="X40" s="283">
        <v>3238</v>
      </c>
      <c r="Y40" s="283" t="s">
        <v>171</v>
      </c>
      <c r="AA40" s="283" t="str">
        <f t="shared" si="13"/>
        <v>32</v>
      </c>
      <c r="AB40" s="283" t="str">
        <f t="shared" si="14"/>
        <v>323</v>
      </c>
      <c r="AD40" s="283" t="s">
        <v>2617</v>
      </c>
      <c r="AE40" s="283" t="s">
        <v>2616</v>
      </c>
      <c r="AF40" s="283" t="str">
        <f t="shared" si="15"/>
        <v>K818050</v>
      </c>
      <c r="AG40" s="283" t="str">
        <f>VLOOKUP(AF40,[2]AKT!$C$4:$E$324,3,FALSE)</f>
        <v>0950</v>
      </c>
    </row>
    <row r="41" spans="1:33">
      <c r="A41" s="290">
        <v>563</v>
      </c>
      <c r="B41" s="288" t="str">
        <f t="shared" si="0"/>
        <v>Europski fond za regionalni razvoj (ERDF)</v>
      </c>
      <c r="C41" s="290">
        <v>3693</v>
      </c>
      <c r="D41" s="288" t="str">
        <f t="shared" si="1"/>
        <v>Tekući prijenosi između proračunskih korisnika istog proraču</v>
      </c>
      <c r="E41" s="289" t="s">
        <v>775</v>
      </c>
      <c r="F41" s="288" t="str">
        <f t="shared" si="2"/>
        <v>Vrhunska istraživanja Znanstvenih centara izvrsnosti</v>
      </c>
      <c r="G41" s="288" t="str">
        <f t="shared" si="3"/>
        <v>0942</v>
      </c>
      <c r="H41" s="128"/>
      <c r="I41" s="128">
        <v>7963</v>
      </c>
      <c r="J41" s="128"/>
      <c r="K41" s="286"/>
      <c r="L41" s="287" t="s">
        <v>2690</v>
      </c>
      <c r="M41" s="287" t="s">
        <v>2687</v>
      </c>
      <c r="N41" s="286" t="s">
        <v>2688</v>
      </c>
      <c r="O41" s="291" t="s">
        <v>2691</v>
      </c>
      <c r="P41" s="285"/>
      <c r="R41" s="283" t="str">
        <f t="shared" si="10"/>
        <v>369</v>
      </c>
      <c r="S41" s="283" t="str">
        <f t="shared" si="11"/>
        <v>36</v>
      </c>
      <c r="T41" s="283" t="str">
        <f t="shared" si="12"/>
        <v>94</v>
      </c>
      <c r="X41" s="283">
        <v>3239</v>
      </c>
      <c r="Y41" s="283" t="s">
        <v>173</v>
      </c>
      <c r="AA41" s="283" t="str">
        <f t="shared" si="13"/>
        <v>32</v>
      </c>
      <c r="AB41" s="283" t="str">
        <f t="shared" si="14"/>
        <v>323</v>
      </c>
      <c r="AD41" s="283" t="s">
        <v>2615</v>
      </c>
      <c r="AE41" s="283" t="s">
        <v>2614</v>
      </c>
      <c r="AF41" s="283" t="str">
        <f t="shared" si="15"/>
        <v>K818050</v>
      </c>
      <c r="AG41" s="283" t="str">
        <f>VLOOKUP(AF41,[2]AKT!$C$4:$E$324,3,FALSE)</f>
        <v>0950</v>
      </c>
    </row>
    <row r="42" spans="1:33">
      <c r="A42" s="290">
        <v>563</v>
      </c>
      <c r="B42" s="288" t="str">
        <f t="shared" si="0"/>
        <v>Europski fond za regionalni razvoj (ERDF)</v>
      </c>
      <c r="C42" s="290">
        <v>3693</v>
      </c>
      <c r="D42" s="288" t="str">
        <f t="shared" si="1"/>
        <v>Tekući prijenosi između proračunskih korisnika istog proraču</v>
      </c>
      <c r="E42" s="289" t="s">
        <v>775</v>
      </c>
      <c r="F42" s="288" t="str">
        <f t="shared" si="2"/>
        <v>Vrhunska istraživanja Znanstvenih centara izvrsnosti</v>
      </c>
      <c r="G42" s="288" t="str">
        <f t="shared" si="3"/>
        <v>0942</v>
      </c>
      <c r="H42" s="128"/>
      <c r="I42" s="128">
        <v>212356</v>
      </c>
      <c r="J42" s="128"/>
      <c r="K42" s="286"/>
      <c r="L42" s="287" t="s">
        <v>2690</v>
      </c>
      <c r="M42" s="287" t="s">
        <v>2687</v>
      </c>
      <c r="N42" s="286" t="s">
        <v>2688</v>
      </c>
      <c r="O42" s="291" t="s">
        <v>2691</v>
      </c>
      <c r="P42" s="285"/>
      <c r="R42" s="283" t="str">
        <f t="shared" si="10"/>
        <v>369</v>
      </c>
      <c r="S42" s="283" t="str">
        <f t="shared" si="11"/>
        <v>36</v>
      </c>
      <c r="T42" s="283" t="str">
        <f t="shared" si="12"/>
        <v>94</v>
      </c>
      <c r="X42" s="283">
        <v>3241</v>
      </c>
      <c r="Y42" s="283" t="s">
        <v>175</v>
      </c>
      <c r="AA42" s="283" t="str">
        <f t="shared" si="13"/>
        <v>32</v>
      </c>
      <c r="AB42" s="283" t="str">
        <f t="shared" si="14"/>
        <v>324</v>
      </c>
      <c r="AD42" s="283" t="s">
        <v>2613</v>
      </c>
      <c r="AE42" s="283" t="s">
        <v>2612</v>
      </c>
      <c r="AF42" s="283" t="str">
        <f t="shared" si="15"/>
        <v>K818050</v>
      </c>
      <c r="AG42" s="283" t="str">
        <f>VLOOKUP(AF42,[2]AKT!$C$4:$E$324,3,FALSE)</f>
        <v>0950</v>
      </c>
    </row>
    <row r="43" spans="1:33">
      <c r="A43" s="290">
        <v>563</v>
      </c>
      <c r="B43" s="288" t="str">
        <f t="shared" si="0"/>
        <v>Europski fond za regionalni razvoj (ERDF)</v>
      </c>
      <c r="C43" s="290">
        <v>3693</v>
      </c>
      <c r="D43" s="288" t="str">
        <f t="shared" si="1"/>
        <v>Tekući prijenosi između proračunskih korisnika istog proraču</v>
      </c>
      <c r="E43" s="289" t="s">
        <v>775</v>
      </c>
      <c r="F43" s="288" t="str">
        <f t="shared" si="2"/>
        <v>Vrhunska istraživanja Znanstvenih centara izvrsnosti</v>
      </c>
      <c r="G43" s="288" t="str">
        <f t="shared" si="3"/>
        <v>0942</v>
      </c>
      <c r="H43" s="128"/>
      <c r="I43" s="128">
        <v>132723</v>
      </c>
      <c r="J43" s="128"/>
      <c r="K43" s="286"/>
      <c r="L43" s="287" t="s">
        <v>2690</v>
      </c>
      <c r="M43" s="287" t="s">
        <v>2687</v>
      </c>
      <c r="N43" s="286" t="s">
        <v>2688</v>
      </c>
      <c r="O43" s="291" t="s">
        <v>2691</v>
      </c>
      <c r="P43" s="285"/>
      <c r="R43" s="283" t="str">
        <f t="shared" si="10"/>
        <v>369</v>
      </c>
      <c r="S43" s="283" t="str">
        <f t="shared" si="11"/>
        <v>36</v>
      </c>
      <c r="T43" s="283" t="str">
        <f t="shared" si="12"/>
        <v>94</v>
      </c>
      <c r="X43" s="283">
        <v>3291</v>
      </c>
      <c r="Y43" s="283" t="s">
        <v>2611</v>
      </c>
      <c r="AA43" s="283" t="str">
        <f t="shared" si="13"/>
        <v>32</v>
      </c>
      <c r="AB43" s="283" t="str">
        <f t="shared" si="14"/>
        <v>329</v>
      </c>
      <c r="AD43" s="283" t="s">
        <v>2610</v>
      </c>
      <c r="AE43" s="283" t="s">
        <v>2609</v>
      </c>
      <c r="AF43" s="283" t="str">
        <f t="shared" si="15"/>
        <v>K818050</v>
      </c>
      <c r="AG43" s="283" t="str">
        <f>VLOOKUP(AF43,[2]AKT!$C$4:$E$324,3,FALSE)</f>
        <v>0950</v>
      </c>
    </row>
    <row r="44" spans="1:33">
      <c r="A44" s="290">
        <v>563</v>
      </c>
      <c r="B44" s="288" t="str">
        <f t="shared" si="0"/>
        <v>Europski fond za regionalni razvoj (ERDF)</v>
      </c>
      <c r="C44" s="290">
        <v>3531</v>
      </c>
      <c r="D44" s="288" t="str">
        <f t="shared" si="1"/>
        <v>Subvencije trgovačkim društvima, zadrugama, poljoprivrednici</v>
      </c>
      <c r="E44" s="289" t="s">
        <v>775</v>
      </c>
      <c r="F44" s="288" t="str">
        <f t="shared" si="2"/>
        <v>Vrhunska istraživanja Znanstvenih centara izvrsnosti</v>
      </c>
      <c r="G44" s="288" t="str">
        <f t="shared" si="3"/>
        <v>0942</v>
      </c>
      <c r="H44" s="128"/>
      <c r="I44" s="128">
        <v>92906</v>
      </c>
      <c r="J44" s="128"/>
      <c r="K44" s="286"/>
      <c r="L44" s="287" t="s">
        <v>2690</v>
      </c>
      <c r="M44" s="287" t="s">
        <v>2687</v>
      </c>
      <c r="N44" s="286" t="s">
        <v>2688</v>
      </c>
      <c r="O44" s="291" t="s">
        <v>2691</v>
      </c>
      <c r="P44" s="285"/>
      <c r="R44" s="283" t="str">
        <f t="shared" si="10"/>
        <v>353</v>
      </c>
      <c r="S44" s="283" t="str">
        <f t="shared" si="11"/>
        <v>35</v>
      </c>
      <c r="T44" s="283" t="str">
        <f t="shared" si="12"/>
        <v>94</v>
      </c>
      <c r="X44" s="283">
        <v>3292</v>
      </c>
      <c r="Y44" s="283" t="s">
        <v>230</v>
      </c>
      <c r="AA44" s="283" t="str">
        <f t="shared" si="13"/>
        <v>32</v>
      </c>
      <c r="AB44" s="283" t="str">
        <f t="shared" si="14"/>
        <v>329</v>
      </c>
      <c r="AD44" s="283" t="s">
        <v>2608</v>
      </c>
      <c r="AE44" s="283" t="s">
        <v>2607</v>
      </c>
      <c r="AF44" s="283" t="str">
        <f t="shared" si="15"/>
        <v>K818050</v>
      </c>
      <c r="AG44" s="283" t="str">
        <f>VLOOKUP(AF44,[2]AKT!$C$4:$E$324,3,FALSE)</f>
        <v>0950</v>
      </c>
    </row>
    <row r="45" spans="1:33">
      <c r="A45" s="290">
        <v>563</v>
      </c>
      <c r="B45" s="288" t="str">
        <f t="shared" si="0"/>
        <v>Europski fond za regionalni razvoj (ERDF)</v>
      </c>
      <c r="C45" s="290">
        <v>3681</v>
      </c>
      <c r="D45" s="288" t="str">
        <f t="shared" si="1"/>
        <v>Tekuće pomoći temeljem prijenosa EU sredstava</v>
      </c>
      <c r="E45" s="289" t="s">
        <v>775</v>
      </c>
      <c r="F45" s="288" t="str">
        <f t="shared" si="2"/>
        <v>Vrhunska istraživanja Znanstvenih centara izvrsnosti</v>
      </c>
      <c r="G45" s="288" t="str">
        <f t="shared" si="3"/>
        <v>0942</v>
      </c>
      <c r="H45" s="128"/>
      <c r="I45" s="128">
        <v>99277</v>
      </c>
      <c r="J45" s="128"/>
      <c r="K45" s="286"/>
      <c r="L45" s="287" t="s">
        <v>2690</v>
      </c>
      <c r="M45" s="287" t="s">
        <v>2687</v>
      </c>
      <c r="N45" s="286" t="s">
        <v>2688</v>
      </c>
      <c r="O45" s="291" t="s">
        <v>2691</v>
      </c>
      <c r="P45" s="285"/>
      <c r="R45" s="283" t="str">
        <f t="shared" si="10"/>
        <v>368</v>
      </c>
      <c r="S45" s="283" t="str">
        <f t="shared" si="11"/>
        <v>36</v>
      </c>
      <c r="T45" s="283" t="str">
        <f t="shared" si="12"/>
        <v>94</v>
      </c>
      <c r="X45" s="283">
        <v>3293</v>
      </c>
      <c r="Y45" s="283" t="s">
        <v>183</v>
      </c>
      <c r="AA45" s="283" t="str">
        <f t="shared" si="13"/>
        <v>32</v>
      </c>
      <c r="AB45" s="283" t="str">
        <f t="shared" si="14"/>
        <v>329</v>
      </c>
      <c r="AD45" s="283" t="s">
        <v>2606</v>
      </c>
      <c r="AE45" s="283" t="s">
        <v>2605</v>
      </c>
      <c r="AF45" s="283" t="str">
        <f t="shared" si="15"/>
        <v>K818050</v>
      </c>
      <c r="AG45" s="283" t="str">
        <f>VLOOKUP(AF45,[2]AKT!$C$4:$E$324,3,FALSE)</f>
        <v>0950</v>
      </c>
    </row>
    <row r="46" spans="1:33">
      <c r="A46" s="290">
        <v>563</v>
      </c>
      <c r="B46" s="288" t="str">
        <f t="shared" si="0"/>
        <v>Europski fond za regionalni razvoj (ERDF)</v>
      </c>
      <c r="C46" s="290">
        <v>4224</v>
      </c>
      <c r="D46" s="288" t="str">
        <f t="shared" si="1"/>
        <v>Medicinska i laboratorijska oprema</v>
      </c>
      <c r="E46" s="289" t="s">
        <v>775</v>
      </c>
      <c r="F46" s="288" t="str">
        <f t="shared" si="2"/>
        <v>Vrhunska istraživanja Znanstvenih centara izvrsnosti</v>
      </c>
      <c r="G46" s="288" t="str">
        <f t="shared" si="3"/>
        <v>0942</v>
      </c>
      <c r="H46" s="128"/>
      <c r="I46" s="128">
        <v>50000</v>
      </c>
      <c r="J46" s="128"/>
      <c r="K46" s="286"/>
      <c r="L46" s="287" t="s">
        <v>2690</v>
      </c>
      <c r="M46" s="287" t="s">
        <v>2687</v>
      </c>
      <c r="N46" s="286" t="s">
        <v>2688</v>
      </c>
      <c r="O46" s="291" t="s">
        <v>2691</v>
      </c>
      <c r="P46" s="285"/>
      <c r="R46" s="283" t="str">
        <f t="shared" si="10"/>
        <v>422</v>
      </c>
      <c r="S46" s="283" t="str">
        <f t="shared" si="11"/>
        <v>42</v>
      </c>
      <c r="T46" s="283" t="str">
        <f t="shared" si="12"/>
        <v>94</v>
      </c>
      <c r="X46" s="283">
        <v>3293</v>
      </c>
      <c r="Y46" s="283" t="s">
        <v>2604</v>
      </c>
      <c r="AA46" s="283" t="str">
        <f t="shared" si="13"/>
        <v>32</v>
      </c>
      <c r="AB46" s="283" t="str">
        <f t="shared" si="14"/>
        <v>329</v>
      </c>
      <c r="AD46" s="283" t="s">
        <v>2603</v>
      </c>
      <c r="AE46" s="283" t="s">
        <v>484</v>
      </c>
      <c r="AF46" s="283" t="str">
        <f t="shared" si="15"/>
        <v>K818050</v>
      </c>
      <c r="AG46" s="283" t="str">
        <f>VLOOKUP(AF46,[2]AKT!$C$4:$E$324,3,FALSE)</f>
        <v>0950</v>
      </c>
    </row>
    <row r="47" spans="1:33">
      <c r="A47" s="290">
        <v>563</v>
      </c>
      <c r="B47" s="288" t="str">
        <f t="shared" si="0"/>
        <v>Europski fond za regionalni razvoj (ERDF)</v>
      </c>
      <c r="C47" s="290">
        <v>3221</v>
      </c>
      <c r="D47" s="288" t="str">
        <f t="shared" si="1"/>
        <v>Uredski materijal i ostali materijalni rashodi</v>
      </c>
      <c r="E47" s="289" t="s">
        <v>775</v>
      </c>
      <c r="F47" s="288" t="str">
        <f t="shared" si="2"/>
        <v>Vrhunska istraživanja Znanstvenih centara izvrsnosti</v>
      </c>
      <c r="G47" s="288" t="str">
        <f t="shared" si="3"/>
        <v>0942</v>
      </c>
      <c r="H47" s="128"/>
      <c r="I47" s="128">
        <v>50000</v>
      </c>
      <c r="J47" s="128">
        <v>1834</v>
      </c>
      <c r="K47" s="286"/>
      <c r="L47" s="287" t="s">
        <v>2690</v>
      </c>
      <c r="M47" s="287" t="s">
        <v>2687</v>
      </c>
      <c r="N47" s="286" t="s">
        <v>2688</v>
      </c>
      <c r="O47" s="291" t="s">
        <v>2691</v>
      </c>
      <c r="P47" s="285"/>
      <c r="R47" s="283" t="str">
        <f t="shared" si="10"/>
        <v>322</v>
      </c>
      <c r="S47" s="283" t="str">
        <f t="shared" si="11"/>
        <v>32</v>
      </c>
      <c r="T47" s="283" t="str">
        <f t="shared" si="12"/>
        <v>94</v>
      </c>
      <c r="X47" s="283">
        <v>3294</v>
      </c>
      <c r="Y47" s="283" t="s">
        <v>231</v>
      </c>
      <c r="AA47" s="283" t="str">
        <f t="shared" si="13"/>
        <v>32</v>
      </c>
      <c r="AB47" s="283" t="str">
        <f t="shared" si="14"/>
        <v>329</v>
      </c>
      <c r="AD47" s="283" t="s">
        <v>2602</v>
      </c>
      <c r="AE47" s="283" t="s">
        <v>2601</v>
      </c>
      <c r="AF47" s="283" t="str">
        <f t="shared" si="15"/>
        <v>K818050</v>
      </c>
      <c r="AG47" s="283" t="str">
        <f>VLOOKUP(AF47,[2]AKT!$C$4:$E$324,3,FALSE)</f>
        <v>0950</v>
      </c>
    </row>
    <row r="48" spans="1:33">
      <c r="A48" s="290">
        <v>563</v>
      </c>
      <c r="B48" s="288" t="str">
        <f t="shared" si="0"/>
        <v>Europski fond za regionalni razvoj (ERDF)</v>
      </c>
      <c r="C48" s="290">
        <v>3232</v>
      </c>
      <c r="D48" s="288" t="str">
        <f t="shared" si="1"/>
        <v>Usluge tekućeg i investicijskog održavanja</v>
      </c>
      <c r="E48" s="289" t="s">
        <v>775</v>
      </c>
      <c r="F48" s="288" t="str">
        <f t="shared" si="2"/>
        <v>Vrhunska istraživanja Znanstvenih centara izvrsnosti</v>
      </c>
      <c r="G48" s="288" t="str">
        <f t="shared" si="3"/>
        <v>0942</v>
      </c>
      <c r="H48" s="128"/>
      <c r="I48" s="128">
        <v>26545</v>
      </c>
      <c r="J48" s="128">
        <v>13584</v>
      </c>
      <c r="K48" s="286"/>
      <c r="L48" s="287" t="s">
        <v>2690</v>
      </c>
      <c r="M48" s="287" t="s">
        <v>2687</v>
      </c>
      <c r="N48" s="286" t="s">
        <v>2688</v>
      </c>
      <c r="O48" s="291" t="s">
        <v>2691</v>
      </c>
      <c r="P48" s="285"/>
      <c r="R48" s="283" t="str">
        <f t="shared" si="10"/>
        <v>323</v>
      </c>
      <c r="S48" s="283" t="str">
        <f t="shared" si="11"/>
        <v>32</v>
      </c>
      <c r="T48" s="283" t="str">
        <f t="shared" si="12"/>
        <v>94</v>
      </c>
      <c r="X48" s="283">
        <v>3295</v>
      </c>
      <c r="Y48" s="283" t="s">
        <v>220</v>
      </c>
      <c r="AA48" s="283" t="str">
        <f t="shared" si="13"/>
        <v>32</v>
      </c>
      <c r="AB48" s="283" t="str">
        <f t="shared" si="14"/>
        <v>329</v>
      </c>
      <c r="AD48" s="283" t="s">
        <v>2600</v>
      </c>
      <c r="AE48" s="283" t="s">
        <v>2599</v>
      </c>
      <c r="AF48" s="283" t="str">
        <f t="shared" si="15"/>
        <v>A679071</v>
      </c>
      <c r="AG48" s="283" t="str">
        <f>VLOOKUP(AF48,[2]AKT!$C$4:$E$324,3,FALSE)</f>
        <v>0942</v>
      </c>
    </row>
    <row r="49" spans="1:33">
      <c r="A49" s="290">
        <v>563</v>
      </c>
      <c r="B49" s="288" t="str">
        <f t="shared" si="0"/>
        <v>Europski fond za regionalni razvoj (ERDF)</v>
      </c>
      <c r="C49" s="290">
        <v>3721</v>
      </c>
      <c r="D49" s="288" t="str">
        <f t="shared" si="1"/>
        <v>Naknade građanima i kućanstvima u novcu</v>
      </c>
      <c r="E49" s="289" t="s">
        <v>775</v>
      </c>
      <c r="F49" s="288" t="str">
        <f t="shared" si="2"/>
        <v>Vrhunska istraživanja Znanstvenih centara izvrsnosti</v>
      </c>
      <c r="G49" s="288" t="str">
        <f t="shared" si="3"/>
        <v>0942</v>
      </c>
      <c r="H49" s="128"/>
      <c r="I49" s="128">
        <v>6636</v>
      </c>
      <c r="J49" s="128"/>
      <c r="K49" s="286"/>
      <c r="L49" s="287" t="s">
        <v>2690</v>
      </c>
      <c r="M49" s="287" t="s">
        <v>2687</v>
      </c>
      <c r="N49" s="286" t="s">
        <v>2688</v>
      </c>
      <c r="O49" s="291" t="s">
        <v>2691</v>
      </c>
      <c r="P49" s="285"/>
      <c r="R49" s="283" t="str">
        <f t="shared" si="10"/>
        <v>372</v>
      </c>
      <c r="S49" s="283" t="str">
        <f t="shared" si="11"/>
        <v>37</v>
      </c>
      <c r="T49" s="283" t="str">
        <f t="shared" si="12"/>
        <v>94</v>
      </c>
      <c r="X49" s="283">
        <v>3296</v>
      </c>
      <c r="Y49" s="283" t="s">
        <v>189</v>
      </c>
      <c r="AA49" s="283" t="str">
        <f t="shared" si="13"/>
        <v>32</v>
      </c>
      <c r="AB49" s="283" t="str">
        <f t="shared" si="14"/>
        <v>329</v>
      </c>
      <c r="AD49" s="283" t="s">
        <v>2598</v>
      </c>
      <c r="AE49" s="283" t="s">
        <v>2597</v>
      </c>
      <c r="AF49" s="283" t="str">
        <f t="shared" si="15"/>
        <v>A679071</v>
      </c>
      <c r="AG49" s="283" t="str">
        <f>VLOOKUP(AF49,[2]AKT!$C$4:$E$324,3,FALSE)</f>
        <v>0942</v>
      </c>
    </row>
    <row r="50" spans="1:33">
      <c r="A50" s="290">
        <v>563</v>
      </c>
      <c r="B50" s="288" t="str">
        <f t="shared" si="0"/>
        <v>Europski fond za regionalni razvoj (ERDF)</v>
      </c>
      <c r="C50" s="290">
        <v>3237</v>
      </c>
      <c r="D50" s="288" t="str">
        <f t="shared" si="1"/>
        <v>Intelektualne i osobne usluge</v>
      </c>
      <c r="E50" s="289" t="s">
        <v>775</v>
      </c>
      <c r="F50" s="288" t="str">
        <f t="shared" si="2"/>
        <v>Vrhunska istraživanja Znanstvenih centara izvrsnosti</v>
      </c>
      <c r="G50" s="288" t="str">
        <f t="shared" si="3"/>
        <v>0942</v>
      </c>
      <c r="H50" s="128"/>
      <c r="I50" s="128">
        <v>13272</v>
      </c>
      <c r="J50" s="128">
        <v>10247</v>
      </c>
      <c r="K50" s="286"/>
      <c r="L50" s="287" t="s">
        <v>2690</v>
      </c>
      <c r="M50" s="287" t="s">
        <v>2687</v>
      </c>
      <c r="N50" s="286" t="s">
        <v>2688</v>
      </c>
      <c r="O50" s="291" t="s">
        <v>2691</v>
      </c>
      <c r="P50" s="285"/>
      <c r="R50" s="283" t="str">
        <f t="shared" si="10"/>
        <v>323</v>
      </c>
      <c r="S50" s="283" t="str">
        <f t="shared" si="11"/>
        <v>32</v>
      </c>
      <c r="T50" s="283" t="str">
        <f t="shared" si="12"/>
        <v>94</v>
      </c>
      <c r="X50" s="283">
        <v>3299</v>
      </c>
      <c r="Y50" s="283" t="s">
        <v>179</v>
      </c>
      <c r="AA50" s="283" t="str">
        <f t="shared" si="13"/>
        <v>32</v>
      </c>
      <c r="AB50" s="283" t="str">
        <f t="shared" si="14"/>
        <v>329</v>
      </c>
      <c r="AD50" s="283" t="s">
        <v>2596</v>
      </c>
      <c r="AE50" s="283" t="s">
        <v>2595</v>
      </c>
      <c r="AF50" s="283" t="str">
        <f t="shared" si="15"/>
        <v>A679071</v>
      </c>
      <c r="AG50" s="283" t="str">
        <f>VLOOKUP(AF50,[2]AKT!$C$4:$E$324,3,FALSE)</f>
        <v>0942</v>
      </c>
    </row>
    <row r="51" spans="1:33">
      <c r="A51" s="290">
        <v>563</v>
      </c>
      <c r="B51" s="288" t="str">
        <f t="shared" si="0"/>
        <v>Europski fond za regionalni razvoj (ERDF)</v>
      </c>
      <c r="C51" s="290">
        <v>3238</v>
      </c>
      <c r="D51" s="288" t="str">
        <f t="shared" si="1"/>
        <v>Računalne usluge</v>
      </c>
      <c r="E51" s="289" t="s">
        <v>774</v>
      </c>
      <c r="F51" s="288" t="str">
        <f t="shared" si="2"/>
        <v>Ulaganje u organizacijsku reformu i infrastrukturu sektora istraživanja, razvoja i inovacija</v>
      </c>
      <c r="G51" s="288" t="str">
        <f t="shared" si="3"/>
        <v>0942</v>
      </c>
      <c r="H51" s="128"/>
      <c r="I51" s="128">
        <v>0</v>
      </c>
      <c r="J51" s="128">
        <v>553</v>
      </c>
      <c r="K51" s="286"/>
      <c r="L51" s="287"/>
      <c r="M51" s="287"/>
      <c r="N51" s="286"/>
      <c r="O51" s="291"/>
      <c r="P51" s="285"/>
    </row>
    <row r="52" spans="1:33">
      <c r="A52" s="290">
        <v>563</v>
      </c>
      <c r="B52" s="288" t="str">
        <f t="shared" si="0"/>
        <v>Europski fond za regionalni razvoj (ERDF)</v>
      </c>
      <c r="C52" s="290">
        <v>3239</v>
      </c>
      <c r="D52" s="288" t="str">
        <f t="shared" si="1"/>
        <v>Ostale usluge</v>
      </c>
      <c r="E52" s="289" t="s">
        <v>773</v>
      </c>
      <c r="F52" s="288" t="str">
        <f t="shared" si="2"/>
        <v>Razvoj i jačanje sinergija s horizontalnim aktivnostima programa OBZOR 2020:  Twinning i ERA chairs</v>
      </c>
      <c r="G52" s="288" t="str">
        <f t="shared" si="3"/>
        <v>0942</v>
      </c>
      <c r="H52" s="128"/>
      <c r="I52" s="128">
        <v>0</v>
      </c>
      <c r="J52" s="128">
        <v>24959</v>
      </c>
      <c r="K52" s="286"/>
      <c r="L52" s="287"/>
      <c r="M52" s="287"/>
      <c r="N52" s="286"/>
      <c r="O52" s="291"/>
      <c r="P52" s="285"/>
    </row>
    <row r="53" spans="1:33">
      <c r="A53" s="290">
        <v>563</v>
      </c>
      <c r="B53" s="288" t="str">
        <f t="shared" si="0"/>
        <v>Europski fond za regionalni razvoj (ERDF)</v>
      </c>
      <c r="C53" s="290">
        <v>3211</v>
      </c>
      <c r="D53" s="288" t="str">
        <f t="shared" si="1"/>
        <v>Službena putovanja</v>
      </c>
      <c r="E53" s="289" t="s">
        <v>775</v>
      </c>
      <c r="F53" s="288" t="str">
        <f t="shared" si="2"/>
        <v>Vrhunska istraživanja Znanstvenih centara izvrsnosti</v>
      </c>
      <c r="G53" s="288" t="str">
        <f t="shared" si="3"/>
        <v>0942</v>
      </c>
      <c r="H53" s="128"/>
      <c r="I53" s="128">
        <v>6636</v>
      </c>
      <c r="J53" s="128">
        <v>3873</v>
      </c>
      <c r="K53" s="286"/>
      <c r="L53" s="287" t="s">
        <v>2690</v>
      </c>
      <c r="M53" s="287" t="s">
        <v>2687</v>
      </c>
      <c r="N53" s="286" t="s">
        <v>2688</v>
      </c>
      <c r="O53" s="291" t="s">
        <v>2691</v>
      </c>
      <c r="P53" s="285"/>
      <c r="R53" s="283" t="str">
        <f>LEFT(C53,3)</f>
        <v>321</v>
      </c>
      <c r="S53" s="283" t="str">
        <f>LEFT(C53,2)</f>
        <v>32</v>
      </c>
      <c r="T53" s="283" t="str">
        <f>MID(G53,2,2)</f>
        <v>94</v>
      </c>
      <c r="X53" s="283">
        <v>3411</v>
      </c>
      <c r="Y53" s="283" t="s">
        <v>2594</v>
      </c>
      <c r="AA53" s="283" t="str">
        <f>LEFT(X53,2)</f>
        <v>34</v>
      </c>
      <c r="AB53" s="283" t="str">
        <f>LEFT(X53,3)</f>
        <v>341</v>
      </c>
      <c r="AD53" s="283" t="s">
        <v>2593</v>
      </c>
      <c r="AE53" s="283" t="s">
        <v>2592</v>
      </c>
      <c r="AF53" s="283" t="str">
        <f>LEFT(AD53,7)</f>
        <v>A679071</v>
      </c>
      <c r="AG53" s="283" t="str">
        <f>VLOOKUP(AF53,[2]AKT!$C$4:$E$324,3,FALSE)</f>
        <v>0942</v>
      </c>
    </row>
    <row r="54" spans="1:33">
      <c r="A54" s="290">
        <v>563</v>
      </c>
      <c r="B54" s="288" t="str">
        <f t="shared" si="0"/>
        <v>Europski fond za regionalni razvoj (ERDF)</v>
      </c>
      <c r="C54" s="290">
        <v>3233</v>
      </c>
      <c r="D54" s="288" t="str">
        <f t="shared" si="1"/>
        <v>Usluge promidžbe i informiranja</v>
      </c>
      <c r="E54" s="289" t="s">
        <v>775</v>
      </c>
      <c r="F54" s="288" t="str">
        <f t="shared" si="2"/>
        <v>Vrhunska istraživanja Znanstvenih centara izvrsnosti</v>
      </c>
      <c r="G54" s="288" t="str">
        <f t="shared" si="3"/>
        <v>0942</v>
      </c>
      <c r="H54" s="128"/>
      <c r="I54" s="128">
        <v>10618</v>
      </c>
      <c r="J54" s="128"/>
      <c r="K54" s="286"/>
      <c r="L54" s="287" t="s">
        <v>2690</v>
      </c>
      <c r="M54" s="287" t="s">
        <v>2687</v>
      </c>
      <c r="N54" s="286" t="s">
        <v>2688</v>
      </c>
      <c r="O54" s="291" t="s">
        <v>2691</v>
      </c>
      <c r="P54" s="285"/>
      <c r="R54" s="283" t="str">
        <f>LEFT(C54,3)</f>
        <v>323</v>
      </c>
      <c r="S54" s="283" t="str">
        <f>LEFT(C54,2)</f>
        <v>32</v>
      </c>
      <c r="T54" s="283" t="str">
        <f>MID(G54,2,2)</f>
        <v>94</v>
      </c>
      <c r="X54" s="283">
        <v>3422</v>
      </c>
      <c r="Y54" s="283" t="s">
        <v>2589</v>
      </c>
      <c r="AA54" s="283" t="str">
        <f>LEFT(X54,2)</f>
        <v>34</v>
      </c>
      <c r="AB54" s="283" t="str">
        <f>LEFT(X54,3)</f>
        <v>342</v>
      </c>
      <c r="AD54" s="283" t="s">
        <v>2591</v>
      </c>
      <c r="AE54" s="283" t="s">
        <v>2590</v>
      </c>
      <c r="AF54" s="283" t="str">
        <f>LEFT(AD54,7)</f>
        <v>A679071</v>
      </c>
      <c r="AG54" s="283" t="str">
        <f>VLOOKUP(AF54,[2]AKT!$C$4:$E$324,3,FALSE)</f>
        <v>0942</v>
      </c>
    </row>
    <row r="55" spans="1:33">
      <c r="A55" s="290">
        <v>563</v>
      </c>
      <c r="B55" s="288" t="str">
        <f t="shared" si="0"/>
        <v>Europski fond za regionalni razvoj (ERDF)</v>
      </c>
      <c r="C55" s="290">
        <v>3213</v>
      </c>
      <c r="D55" s="288" t="str">
        <f t="shared" si="1"/>
        <v>Stručno usavršavanje zaposlenika</v>
      </c>
      <c r="E55" s="289" t="s">
        <v>775</v>
      </c>
      <c r="F55" s="288" t="str">
        <f t="shared" si="2"/>
        <v>Vrhunska istraživanja Znanstvenih centara izvrsnosti</v>
      </c>
      <c r="G55" s="288" t="str">
        <f t="shared" si="3"/>
        <v>0942</v>
      </c>
      <c r="H55" s="128"/>
      <c r="I55" s="128">
        <v>0</v>
      </c>
      <c r="J55" s="128">
        <v>1510</v>
      </c>
      <c r="K55" s="286"/>
      <c r="L55" s="287"/>
      <c r="M55" s="287"/>
      <c r="N55" s="286"/>
      <c r="O55" s="291"/>
      <c r="P55" s="285"/>
    </row>
    <row r="56" spans="1:33">
      <c r="A56" s="290">
        <v>563</v>
      </c>
      <c r="B56" s="288" t="str">
        <f t="shared" si="0"/>
        <v>Europski fond za regionalni razvoj (ERDF)</v>
      </c>
      <c r="C56" s="290">
        <v>3111</v>
      </c>
      <c r="D56" s="288" t="str">
        <f t="shared" si="1"/>
        <v>Plaće za redovan rad</v>
      </c>
      <c r="E56" s="289" t="s">
        <v>775</v>
      </c>
      <c r="F56" s="288" t="str">
        <f t="shared" si="2"/>
        <v>Vrhunska istraživanja Znanstvenih centara izvrsnosti</v>
      </c>
      <c r="G56" s="288" t="str">
        <f t="shared" si="3"/>
        <v>0942</v>
      </c>
      <c r="H56" s="128"/>
      <c r="I56" s="128">
        <v>85919</v>
      </c>
      <c r="J56" s="128">
        <v>8670</v>
      </c>
      <c r="K56" s="286"/>
      <c r="L56" s="287" t="s">
        <v>2690</v>
      </c>
      <c r="M56" s="287" t="s">
        <v>2687</v>
      </c>
      <c r="N56" s="286" t="s">
        <v>2688</v>
      </c>
      <c r="O56" s="291" t="s">
        <v>2691</v>
      </c>
      <c r="P56" s="285"/>
      <c r="R56" s="283" t="str">
        <f>LEFT(C56,3)</f>
        <v>311</v>
      </c>
      <c r="S56" s="283" t="str">
        <f>LEFT(C56,2)</f>
        <v>31</v>
      </c>
      <c r="T56" s="283" t="str">
        <f>MID(G56,2,2)</f>
        <v>94</v>
      </c>
      <c r="X56" s="283">
        <v>3423</v>
      </c>
      <c r="Y56" s="283" t="s">
        <v>2589</v>
      </c>
      <c r="AA56" s="283" t="str">
        <f>LEFT(X56,2)</f>
        <v>34</v>
      </c>
      <c r="AB56" s="283" t="str">
        <f>LEFT(X56,3)</f>
        <v>342</v>
      </c>
      <c r="AD56" s="283" t="s">
        <v>2588</v>
      </c>
      <c r="AE56" s="283" t="s">
        <v>2587</v>
      </c>
      <c r="AF56" s="283" t="str">
        <f>LEFT(AD56,7)</f>
        <v>A679071</v>
      </c>
      <c r="AG56" s="283" t="str">
        <f>VLOOKUP(AF56,[2]AKT!$C$4:$E$324,3,FALSE)</f>
        <v>0942</v>
      </c>
    </row>
    <row r="57" spans="1:33">
      <c r="A57" s="290">
        <v>563</v>
      </c>
      <c r="B57" s="288" t="str">
        <f t="shared" si="0"/>
        <v>Europski fond za regionalni razvoj (ERDF)</v>
      </c>
      <c r="C57" s="290">
        <v>3132</v>
      </c>
      <c r="D57" s="288" t="str">
        <f t="shared" si="1"/>
        <v>Doprinosi za obvezno zdravstveno osiguranje</v>
      </c>
      <c r="E57" s="289" t="s">
        <v>775</v>
      </c>
      <c r="F57" s="288" t="str">
        <f t="shared" si="2"/>
        <v>Vrhunska istraživanja Znanstvenih centara izvrsnosti</v>
      </c>
      <c r="G57" s="288" t="str">
        <f t="shared" si="3"/>
        <v>0942</v>
      </c>
      <c r="H57" s="128"/>
      <c r="I57" s="128">
        <v>17081</v>
      </c>
      <c r="J57" s="128">
        <v>1431</v>
      </c>
      <c r="K57" s="286"/>
      <c r="L57" s="287" t="s">
        <v>2690</v>
      </c>
      <c r="M57" s="287" t="s">
        <v>2687</v>
      </c>
      <c r="N57" s="286" t="s">
        <v>2688</v>
      </c>
      <c r="O57" s="291" t="s">
        <v>2691</v>
      </c>
      <c r="P57" s="285"/>
      <c r="R57" s="283" t="str">
        <f>LEFT(C57,3)</f>
        <v>313</v>
      </c>
      <c r="S57" s="283" t="str">
        <f>LEFT(C57,2)</f>
        <v>31</v>
      </c>
      <c r="T57" s="283" t="str">
        <f>MID(G57,2,2)</f>
        <v>94</v>
      </c>
      <c r="X57" s="283">
        <v>3427</v>
      </c>
      <c r="Y57" s="283" t="s">
        <v>2586</v>
      </c>
      <c r="AA57" s="283" t="str">
        <f>LEFT(X57,2)</f>
        <v>34</v>
      </c>
      <c r="AB57" s="283" t="str">
        <f>LEFT(X57,3)</f>
        <v>342</v>
      </c>
      <c r="AD57" s="283" t="s">
        <v>2585</v>
      </c>
      <c r="AE57" s="283" t="s">
        <v>2584</v>
      </c>
      <c r="AF57" s="283" t="str">
        <f>LEFT(AD57,7)</f>
        <v>A679071</v>
      </c>
      <c r="AG57" s="283" t="str">
        <f>VLOOKUP(AF57,[2]AKT!$C$4:$E$324,3,FALSE)</f>
        <v>0942</v>
      </c>
    </row>
    <row r="58" spans="1:33">
      <c r="A58" s="290">
        <v>563</v>
      </c>
      <c r="B58" s="288" t="str">
        <f t="shared" si="0"/>
        <v>Europski fond za regionalni razvoj (ERDF)</v>
      </c>
      <c r="C58" s="290">
        <v>3431</v>
      </c>
      <c r="D58" s="288" t="str">
        <f t="shared" si="1"/>
        <v>Bankarske usluge i usluge platnog prometa</v>
      </c>
      <c r="E58" s="289" t="s">
        <v>775</v>
      </c>
      <c r="F58" s="288" t="str">
        <f t="shared" si="2"/>
        <v>Vrhunska istraživanja Znanstvenih centara izvrsnosti</v>
      </c>
      <c r="G58" s="288" t="str">
        <f t="shared" si="3"/>
        <v>0942</v>
      </c>
      <c r="H58" s="128"/>
      <c r="I58" s="128">
        <v>0</v>
      </c>
      <c r="J58" s="128">
        <v>351</v>
      </c>
      <c r="K58" s="286"/>
      <c r="L58" s="287"/>
      <c r="M58" s="287"/>
      <c r="N58" s="286"/>
      <c r="O58" s="291"/>
      <c r="P58" s="285"/>
    </row>
    <row r="59" spans="1:33">
      <c r="A59" s="290">
        <v>52</v>
      </c>
      <c r="B59" s="288" t="str">
        <f t="shared" si="0"/>
        <v>Ostale pomoći</v>
      </c>
      <c r="C59" s="290">
        <v>3111</v>
      </c>
      <c r="D59" s="288" t="str">
        <f t="shared" si="1"/>
        <v>Plaće za redovan rad</v>
      </c>
      <c r="E59" s="289" t="s">
        <v>2591</v>
      </c>
      <c r="F59" s="288" t="str">
        <f t="shared" si="2"/>
        <v>ERASMUS+ projekt individualne mobilnosti nastavnog i nenastavnog osoblja kroz boravak na inozemnim ustanovama</v>
      </c>
      <c r="G59" s="288" t="str">
        <f t="shared" si="3"/>
        <v>0942</v>
      </c>
      <c r="H59" s="128">
        <v>13507</v>
      </c>
      <c r="I59" s="128">
        <v>22568</v>
      </c>
      <c r="J59" s="128">
        <v>7271</v>
      </c>
      <c r="K59" s="286"/>
      <c r="L59" s="287" t="s">
        <v>2692</v>
      </c>
      <c r="M59" s="287" t="s">
        <v>2693</v>
      </c>
      <c r="N59" s="286" t="s">
        <v>2694</v>
      </c>
      <c r="O59" s="291" t="s">
        <v>2695</v>
      </c>
      <c r="P59" s="285"/>
      <c r="R59" s="283" t="str">
        <f t="shared" ref="R59:R122" si="19">LEFT(C59,3)</f>
        <v>311</v>
      </c>
      <c r="S59" s="283" t="str">
        <f t="shared" ref="S59:S122" si="20">LEFT(C59,2)</f>
        <v>31</v>
      </c>
      <c r="T59" s="283" t="str">
        <f t="shared" ref="T59:T122" si="21">MID(G59,2,2)</f>
        <v>94</v>
      </c>
      <c r="X59" s="283">
        <v>3431</v>
      </c>
      <c r="Y59" s="283" t="s">
        <v>197</v>
      </c>
      <c r="AA59" s="283" t="str">
        <f t="shared" ref="AA59:AA90" si="22">LEFT(X59,2)</f>
        <v>34</v>
      </c>
      <c r="AB59" s="283" t="str">
        <f t="shared" ref="AB59:AB90" si="23">LEFT(X59,3)</f>
        <v>343</v>
      </c>
      <c r="AD59" s="283" t="s">
        <v>2583</v>
      </c>
      <c r="AE59" s="283" t="s">
        <v>2582</v>
      </c>
      <c r="AF59" s="283" t="str">
        <f t="shared" ref="AF59:AF122" si="24">LEFT(AD59,7)</f>
        <v>A679071</v>
      </c>
      <c r="AG59" s="283" t="str">
        <f>VLOOKUP(AF59,[2]AKT!$C$4:$E$324,3,FALSE)</f>
        <v>0942</v>
      </c>
    </row>
    <row r="60" spans="1:33">
      <c r="A60" s="290">
        <v>52</v>
      </c>
      <c r="B60" s="288" t="str">
        <f t="shared" si="0"/>
        <v>Ostale pomoći</v>
      </c>
      <c r="C60" s="290">
        <v>3132</v>
      </c>
      <c r="D60" s="288" t="str">
        <f t="shared" si="1"/>
        <v>Doprinosi za obvezno zdravstveno osiguranje</v>
      </c>
      <c r="E60" s="289" t="s">
        <v>2591</v>
      </c>
      <c r="F60" s="288" t="str">
        <f t="shared" si="2"/>
        <v>ERASMUS+ projekt individualne mobilnosti nastavnog i nenastavnog osoblja kroz boravak na inozemnim ustanovama</v>
      </c>
      <c r="G60" s="288" t="str">
        <f t="shared" si="3"/>
        <v>0942</v>
      </c>
      <c r="H60" s="128">
        <v>2229</v>
      </c>
      <c r="I60" s="128">
        <v>4459</v>
      </c>
      <c r="J60" s="128">
        <v>1200</v>
      </c>
      <c r="K60" s="286"/>
      <c r="L60" s="287" t="s">
        <v>2692</v>
      </c>
      <c r="M60" s="287" t="s">
        <v>2693</v>
      </c>
      <c r="N60" s="286" t="s">
        <v>2694</v>
      </c>
      <c r="O60" s="291" t="s">
        <v>2695</v>
      </c>
      <c r="P60" s="285"/>
      <c r="R60" s="283" t="str">
        <f t="shared" si="19"/>
        <v>313</v>
      </c>
      <c r="S60" s="283" t="str">
        <f t="shared" si="20"/>
        <v>31</v>
      </c>
      <c r="T60" s="283" t="str">
        <f t="shared" si="21"/>
        <v>94</v>
      </c>
      <c r="X60" s="283">
        <v>3432</v>
      </c>
      <c r="Y60" s="283" t="s">
        <v>2581</v>
      </c>
      <c r="AA60" s="283" t="str">
        <f t="shared" si="22"/>
        <v>34</v>
      </c>
      <c r="AB60" s="283" t="str">
        <f t="shared" si="23"/>
        <v>343</v>
      </c>
      <c r="AD60" s="283" t="s">
        <v>2580</v>
      </c>
      <c r="AE60" s="283" t="s">
        <v>2579</v>
      </c>
      <c r="AF60" s="283" t="str">
        <f t="shared" si="24"/>
        <v>A679071</v>
      </c>
      <c r="AG60" s="283" t="str">
        <f>VLOOKUP(AF60,[2]AKT!$C$4:$E$324,3,FALSE)</f>
        <v>0942</v>
      </c>
    </row>
    <row r="61" spans="1:33">
      <c r="A61" s="290">
        <v>52</v>
      </c>
      <c r="B61" s="288" t="str">
        <f t="shared" si="0"/>
        <v>Ostale pomoći</v>
      </c>
      <c r="C61" s="290">
        <v>3723</v>
      </c>
      <c r="D61" s="288" t="str">
        <f t="shared" si="1"/>
        <v>Naknade građanima i kućanstvima iz EU sredstava</v>
      </c>
      <c r="E61" s="289" t="s">
        <v>2591</v>
      </c>
      <c r="F61" s="288" t="str">
        <f t="shared" si="2"/>
        <v>ERASMUS+ projekt individualne mobilnosti nastavnog i nenastavnog osoblja kroz boravak na inozemnim ustanovama</v>
      </c>
      <c r="G61" s="288" t="str">
        <f t="shared" si="3"/>
        <v>0942</v>
      </c>
      <c r="H61" s="128">
        <v>10000</v>
      </c>
      <c r="I61" s="128">
        <v>13272</v>
      </c>
      <c r="J61" s="128"/>
      <c r="K61" s="286"/>
      <c r="L61" s="287" t="s">
        <v>2692</v>
      </c>
      <c r="M61" s="287" t="s">
        <v>2693</v>
      </c>
      <c r="N61" s="286" t="s">
        <v>2694</v>
      </c>
      <c r="O61" s="291" t="s">
        <v>2695</v>
      </c>
      <c r="P61" s="285"/>
      <c r="R61" s="283" t="str">
        <f t="shared" si="19"/>
        <v>372</v>
      </c>
      <c r="S61" s="283" t="str">
        <f t="shared" si="20"/>
        <v>37</v>
      </c>
      <c r="T61" s="283" t="str">
        <f t="shared" si="21"/>
        <v>94</v>
      </c>
      <c r="X61" s="283">
        <v>3433</v>
      </c>
      <c r="Y61" s="283" t="s">
        <v>201</v>
      </c>
      <c r="AA61" s="283" t="str">
        <f t="shared" si="22"/>
        <v>34</v>
      </c>
      <c r="AB61" s="283" t="str">
        <f t="shared" si="23"/>
        <v>343</v>
      </c>
      <c r="AD61" s="283" t="s">
        <v>2578</v>
      </c>
      <c r="AE61" s="283" t="s">
        <v>2577</v>
      </c>
      <c r="AF61" s="283" t="str">
        <f t="shared" si="24"/>
        <v>A679071</v>
      </c>
      <c r="AG61" s="283" t="str">
        <f>VLOOKUP(AF61,[2]AKT!$C$4:$E$324,3,FALSE)</f>
        <v>0942</v>
      </c>
    </row>
    <row r="62" spans="1:33">
      <c r="A62" s="290">
        <v>52</v>
      </c>
      <c r="B62" s="288" t="str">
        <f t="shared" si="0"/>
        <v>Ostale pomoći</v>
      </c>
      <c r="C62" s="290">
        <v>3211</v>
      </c>
      <c r="D62" s="288" t="str">
        <f t="shared" si="1"/>
        <v>Službena putovanja</v>
      </c>
      <c r="E62" s="289" t="s">
        <v>2591</v>
      </c>
      <c r="F62" s="288" t="str">
        <f t="shared" si="2"/>
        <v>ERASMUS+ projekt individualne mobilnosti nastavnog i nenastavnog osoblja kroz boravak na inozemnim ustanovama</v>
      </c>
      <c r="G62" s="288" t="str">
        <f t="shared" si="3"/>
        <v>0942</v>
      </c>
      <c r="H62" s="128">
        <f>62190-46361</f>
        <v>15829</v>
      </c>
      <c r="I62" s="128">
        <v>46361</v>
      </c>
      <c r="J62" s="128"/>
      <c r="K62" s="286"/>
      <c r="L62" s="287" t="s">
        <v>2686</v>
      </c>
      <c r="M62" s="287" t="s">
        <v>2687</v>
      </c>
      <c r="N62" s="286" t="s">
        <v>2694</v>
      </c>
      <c r="O62" s="291" t="s">
        <v>2695</v>
      </c>
      <c r="P62" s="285"/>
      <c r="R62" s="283" t="str">
        <f t="shared" si="19"/>
        <v>321</v>
      </c>
      <c r="S62" s="283" t="str">
        <f t="shared" si="20"/>
        <v>32</v>
      </c>
      <c r="T62" s="283" t="str">
        <f t="shared" si="21"/>
        <v>94</v>
      </c>
      <c r="X62" s="283">
        <v>3434</v>
      </c>
      <c r="Y62" s="283" t="s">
        <v>203</v>
      </c>
      <c r="AA62" s="283" t="str">
        <f t="shared" si="22"/>
        <v>34</v>
      </c>
      <c r="AB62" s="283" t="str">
        <f t="shared" si="23"/>
        <v>343</v>
      </c>
      <c r="AD62" s="283" t="s">
        <v>2576</v>
      </c>
      <c r="AE62" s="283" t="s">
        <v>2575</v>
      </c>
      <c r="AF62" s="283" t="str">
        <f t="shared" si="24"/>
        <v>A679071</v>
      </c>
      <c r="AG62" s="283" t="str">
        <f>VLOOKUP(AF62,[2]AKT!$C$4:$E$324,3,FALSE)</f>
        <v>0942</v>
      </c>
    </row>
    <row r="63" spans="1:33">
      <c r="A63" s="290">
        <v>52</v>
      </c>
      <c r="B63" s="288" t="str">
        <f t="shared" si="0"/>
        <v>Ostale pomoći</v>
      </c>
      <c r="C63" s="290">
        <v>3723</v>
      </c>
      <c r="D63" s="288" t="str">
        <f t="shared" si="1"/>
        <v>Naknade građanima i kućanstvima iz EU sredstava</v>
      </c>
      <c r="E63" s="289" t="s">
        <v>2591</v>
      </c>
      <c r="F63" s="288" t="str">
        <f t="shared" si="2"/>
        <v>ERASMUS+ projekt individualne mobilnosti nastavnog i nenastavnog osoblja kroz boravak na inozemnim ustanovama</v>
      </c>
      <c r="G63" s="288" t="str">
        <f t="shared" si="3"/>
        <v>0942</v>
      </c>
      <c r="H63" s="128">
        <f>458086-10000-238900</f>
        <v>209186</v>
      </c>
      <c r="I63" s="128">
        <v>238900</v>
      </c>
      <c r="J63" s="128"/>
      <c r="K63" s="128"/>
      <c r="L63" s="287" t="s">
        <v>2686</v>
      </c>
      <c r="M63" s="287" t="s">
        <v>2687</v>
      </c>
      <c r="N63" s="286" t="s">
        <v>2694</v>
      </c>
      <c r="O63" s="291" t="s">
        <v>2695</v>
      </c>
      <c r="P63" s="285"/>
      <c r="R63" s="283" t="str">
        <f t="shared" si="19"/>
        <v>372</v>
      </c>
      <c r="S63" s="283" t="str">
        <f t="shared" si="20"/>
        <v>37</v>
      </c>
      <c r="T63" s="283" t="str">
        <f t="shared" si="21"/>
        <v>94</v>
      </c>
      <c r="X63" s="283">
        <v>3511</v>
      </c>
      <c r="Y63" s="283" t="s">
        <v>2574</v>
      </c>
      <c r="AA63" s="283" t="str">
        <f t="shared" si="22"/>
        <v>35</v>
      </c>
      <c r="AB63" s="283" t="str">
        <f t="shared" si="23"/>
        <v>351</v>
      </c>
      <c r="AD63" s="283" t="s">
        <v>2573</v>
      </c>
      <c r="AE63" s="283" t="s">
        <v>2572</v>
      </c>
      <c r="AF63" s="283" t="str">
        <f t="shared" si="24"/>
        <v>A679071</v>
      </c>
      <c r="AG63" s="283" t="str">
        <f>VLOOKUP(AF63,[2]AKT!$C$4:$E$324,3,FALSE)</f>
        <v>0942</v>
      </c>
    </row>
    <row r="64" spans="1:33">
      <c r="A64" s="290">
        <v>52</v>
      </c>
      <c r="B64" s="288" t="str">
        <f t="shared" si="0"/>
        <v>Ostale pomoći</v>
      </c>
      <c r="C64" s="290">
        <v>3211</v>
      </c>
      <c r="D64" s="288" t="str">
        <f t="shared" si="1"/>
        <v>Službena putovanja</v>
      </c>
      <c r="E64" s="289" t="s">
        <v>2591</v>
      </c>
      <c r="F64" s="288" t="str">
        <f t="shared" si="2"/>
        <v>ERASMUS+ projekt individualne mobilnosti nastavnog i nenastavnog osoblja kroz boravak na inozemnim ustanovama</v>
      </c>
      <c r="G64" s="288" t="str">
        <f t="shared" si="3"/>
        <v>0942</v>
      </c>
      <c r="H64" s="128">
        <v>0</v>
      </c>
      <c r="I64" s="128">
        <v>1000</v>
      </c>
      <c r="J64" s="128"/>
      <c r="K64" s="286"/>
      <c r="L64" s="287" t="s">
        <v>2696</v>
      </c>
      <c r="M64" s="287" t="s">
        <v>2687</v>
      </c>
      <c r="N64" s="286" t="s">
        <v>2694</v>
      </c>
      <c r="O64" s="291" t="s">
        <v>2695</v>
      </c>
      <c r="P64" s="285"/>
      <c r="R64" s="283" t="str">
        <f t="shared" si="19"/>
        <v>321</v>
      </c>
      <c r="S64" s="283" t="str">
        <f t="shared" si="20"/>
        <v>32</v>
      </c>
      <c r="T64" s="283" t="str">
        <f t="shared" si="21"/>
        <v>94</v>
      </c>
      <c r="X64" s="283">
        <v>3512</v>
      </c>
      <c r="Y64" s="283" t="s">
        <v>2571</v>
      </c>
      <c r="AA64" s="283" t="str">
        <f t="shared" si="22"/>
        <v>35</v>
      </c>
      <c r="AB64" s="283" t="str">
        <f t="shared" si="23"/>
        <v>351</v>
      </c>
      <c r="AD64" s="283" t="s">
        <v>2570</v>
      </c>
      <c r="AE64" s="283" t="s">
        <v>2569</v>
      </c>
      <c r="AF64" s="283" t="str">
        <f t="shared" si="24"/>
        <v>A679071</v>
      </c>
      <c r="AG64" s="283" t="str">
        <f>VLOOKUP(AF64,[2]AKT!$C$4:$E$324,3,FALSE)</f>
        <v>0942</v>
      </c>
    </row>
    <row r="65" spans="1:33">
      <c r="A65" s="290">
        <v>52</v>
      </c>
      <c r="B65" s="288" t="str">
        <f t="shared" si="0"/>
        <v>Ostale pomoći</v>
      </c>
      <c r="C65" s="290">
        <v>3293</v>
      </c>
      <c r="D65" s="288" t="str">
        <f t="shared" si="1"/>
        <v>Reprezentacija</v>
      </c>
      <c r="E65" s="289" t="s">
        <v>2591</v>
      </c>
      <c r="F65" s="288" t="str">
        <f t="shared" si="2"/>
        <v>ERASMUS+ projekt individualne mobilnosti nastavnog i nenastavnog osoblja kroz boravak na inozemnim ustanovama</v>
      </c>
      <c r="G65" s="288" t="str">
        <f t="shared" si="3"/>
        <v>0942</v>
      </c>
      <c r="H65" s="128">
        <v>781</v>
      </c>
      <c r="I65" s="128">
        <v>39817</v>
      </c>
      <c r="J65" s="128"/>
      <c r="K65" s="286"/>
      <c r="L65" s="287" t="s">
        <v>2696</v>
      </c>
      <c r="M65" s="287" t="s">
        <v>2687</v>
      </c>
      <c r="N65" s="286" t="s">
        <v>2694</v>
      </c>
      <c r="O65" s="291" t="s">
        <v>2695</v>
      </c>
      <c r="P65" s="285"/>
      <c r="R65" s="283" t="str">
        <f t="shared" si="19"/>
        <v>329</v>
      </c>
      <c r="S65" s="283" t="str">
        <f t="shared" si="20"/>
        <v>32</v>
      </c>
      <c r="T65" s="283" t="str">
        <f t="shared" si="21"/>
        <v>94</v>
      </c>
      <c r="X65" s="283">
        <v>3522</v>
      </c>
      <c r="Y65" s="283" t="s">
        <v>2568</v>
      </c>
      <c r="AA65" s="283" t="str">
        <f t="shared" si="22"/>
        <v>35</v>
      </c>
      <c r="AB65" s="283" t="str">
        <f t="shared" si="23"/>
        <v>352</v>
      </c>
      <c r="AD65" s="283" t="s">
        <v>2567</v>
      </c>
      <c r="AE65" s="283" t="s">
        <v>2566</v>
      </c>
      <c r="AF65" s="283" t="str">
        <f t="shared" si="24"/>
        <v>A679071</v>
      </c>
      <c r="AG65" s="283" t="str">
        <f>VLOOKUP(AF65,[2]AKT!$C$4:$E$324,3,FALSE)</f>
        <v>0942</v>
      </c>
    </row>
    <row r="66" spans="1:33">
      <c r="A66" s="290">
        <v>52</v>
      </c>
      <c r="B66" s="288" t="str">
        <f t="shared" si="0"/>
        <v>Ostale pomoći</v>
      </c>
      <c r="C66" s="290">
        <v>3233</v>
      </c>
      <c r="D66" s="288" t="str">
        <f t="shared" si="1"/>
        <v>Usluge promidžbe i informiranja</v>
      </c>
      <c r="E66" s="289" t="s">
        <v>2591</v>
      </c>
      <c r="F66" s="288" t="str">
        <f t="shared" si="2"/>
        <v>ERASMUS+ projekt individualne mobilnosti nastavnog i nenastavnog osoblja kroz boravak na inozemnim ustanovama</v>
      </c>
      <c r="G66" s="288" t="str">
        <f t="shared" si="3"/>
        <v>0942</v>
      </c>
      <c r="H66" s="128">
        <v>1803</v>
      </c>
      <c r="I66" s="128">
        <v>5000</v>
      </c>
      <c r="J66" s="128"/>
      <c r="K66" s="286"/>
      <c r="L66" s="287" t="s">
        <v>2696</v>
      </c>
      <c r="M66" s="287" t="s">
        <v>2687</v>
      </c>
      <c r="N66" s="286" t="s">
        <v>2694</v>
      </c>
      <c r="O66" s="291" t="s">
        <v>2695</v>
      </c>
      <c r="P66" s="285"/>
      <c r="R66" s="283" t="str">
        <f t="shared" si="19"/>
        <v>323</v>
      </c>
      <c r="S66" s="283" t="str">
        <f t="shared" si="20"/>
        <v>32</v>
      </c>
      <c r="T66" s="283" t="str">
        <f t="shared" si="21"/>
        <v>94</v>
      </c>
      <c r="X66" s="283">
        <v>3531</v>
      </c>
      <c r="Y66" s="283" t="s">
        <v>2565</v>
      </c>
      <c r="AA66" s="283" t="str">
        <f t="shared" si="22"/>
        <v>35</v>
      </c>
      <c r="AB66" s="283" t="str">
        <f t="shared" si="23"/>
        <v>353</v>
      </c>
      <c r="AD66" s="283" t="s">
        <v>2564</v>
      </c>
      <c r="AE66" s="283" t="s">
        <v>2563</v>
      </c>
      <c r="AF66" s="283" t="str">
        <f t="shared" si="24"/>
        <v>A679071</v>
      </c>
      <c r="AG66" s="283" t="str">
        <f>VLOOKUP(AF66,[2]AKT!$C$4:$E$324,3,FALSE)</f>
        <v>0942</v>
      </c>
    </row>
    <row r="67" spans="1:33">
      <c r="A67" s="290">
        <v>52</v>
      </c>
      <c r="B67" s="288" t="str">
        <f t="shared" si="0"/>
        <v>Ostale pomoći</v>
      </c>
      <c r="C67" s="290">
        <v>3237</v>
      </c>
      <c r="D67" s="288" t="str">
        <f t="shared" si="1"/>
        <v>Intelektualne i osobne usluge</v>
      </c>
      <c r="E67" s="289" t="s">
        <v>2591</v>
      </c>
      <c r="F67" s="288" t="str">
        <f t="shared" si="2"/>
        <v>ERASMUS+ projekt individualne mobilnosti nastavnog i nenastavnog osoblja kroz boravak na inozemnim ustanovama</v>
      </c>
      <c r="G67" s="288" t="str">
        <f t="shared" si="3"/>
        <v>0942</v>
      </c>
      <c r="H67" s="128">
        <v>52284</v>
      </c>
      <c r="I67" s="128">
        <v>59725</v>
      </c>
      <c r="J67" s="128"/>
      <c r="K67" s="286"/>
      <c r="L67" s="287" t="s">
        <v>2696</v>
      </c>
      <c r="M67" s="287" t="s">
        <v>2687</v>
      </c>
      <c r="N67" s="286" t="s">
        <v>2694</v>
      </c>
      <c r="O67" s="291" t="s">
        <v>2695</v>
      </c>
      <c r="P67" s="285"/>
      <c r="R67" s="283" t="str">
        <f t="shared" si="19"/>
        <v>323</v>
      </c>
      <c r="S67" s="283" t="str">
        <f t="shared" si="20"/>
        <v>32</v>
      </c>
      <c r="T67" s="283" t="str">
        <f t="shared" si="21"/>
        <v>94</v>
      </c>
      <c r="X67" s="283">
        <v>3611</v>
      </c>
      <c r="Y67" s="283" t="s">
        <v>2562</v>
      </c>
      <c r="AA67" s="283" t="str">
        <f t="shared" si="22"/>
        <v>36</v>
      </c>
      <c r="AB67" s="283" t="str">
        <f t="shared" si="23"/>
        <v>361</v>
      </c>
      <c r="AD67" s="283" t="s">
        <v>2561</v>
      </c>
      <c r="AE67" s="283" t="s">
        <v>2560</v>
      </c>
      <c r="AF67" s="283" t="str">
        <f t="shared" si="24"/>
        <v>A679071</v>
      </c>
      <c r="AG67" s="283" t="str">
        <f>VLOOKUP(AF67,[2]AKT!$C$4:$E$324,3,FALSE)</f>
        <v>0942</v>
      </c>
    </row>
    <row r="68" spans="1:33">
      <c r="A68" s="290">
        <v>52</v>
      </c>
      <c r="B68" s="288" t="str">
        <f t="shared" si="0"/>
        <v>Ostale pomoći</v>
      </c>
      <c r="C68" s="290">
        <v>3239</v>
      </c>
      <c r="D68" s="288" t="str">
        <f t="shared" si="1"/>
        <v>Ostale usluge</v>
      </c>
      <c r="E68" s="289" t="s">
        <v>2591</v>
      </c>
      <c r="F68" s="288" t="str">
        <f t="shared" si="2"/>
        <v>ERASMUS+ projekt individualne mobilnosti nastavnog i nenastavnog osoblja kroz boravak na inozemnim ustanovama</v>
      </c>
      <c r="G68" s="288" t="str">
        <f t="shared" si="3"/>
        <v>0942</v>
      </c>
      <c r="H68" s="128">
        <v>647</v>
      </c>
      <c r="I68" s="128">
        <v>500</v>
      </c>
      <c r="J68" s="128"/>
      <c r="K68" s="286"/>
      <c r="L68" s="287" t="s">
        <v>2696</v>
      </c>
      <c r="M68" s="287" t="s">
        <v>2687</v>
      </c>
      <c r="N68" s="286" t="s">
        <v>2694</v>
      </c>
      <c r="O68" s="291" t="s">
        <v>2695</v>
      </c>
      <c r="P68" s="285"/>
      <c r="R68" s="283" t="str">
        <f t="shared" si="19"/>
        <v>323</v>
      </c>
      <c r="S68" s="283" t="str">
        <f t="shared" si="20"/>
        <v>32</v>
      </c>
      <c r="T68" s="283" t="str">
        <f t="shared" si="21"/>
        <v>94</v>
      </c>
      <c r="X68" s="283">
        <v>3621</v>
      </c>
      <c r="Y68" s="283" t="s">
        <v>2559</v>
      </c>
      <c r="AA68" s="283" t="str">
        <f t="shared" si="22"/>
        <v>36</v>
      </c>
      <c r="AB68" s="283" t="str">
        <f t="shared" si="23"/>
        <v>362</v>
      </c>
      <c r="AD68" s="283" t="s">
        <v>2558</v>
      </c>
      <c r="AE68" s="283" t="s">
        <v>818</v>
      </c>
      <c r="AF68" s="283" t="str">
        <f t="shared" si="24"/>
        <v>A679071</v>
      </c>
      <c r="AG68" s="283" t="str">
        <f>VLOOKUP(AF68,[2]AKT!$C$4:$E$324,3,FALSE)</f>
        <v>0942</v>
      </c>
    </row>
    <row r="69" spans="1:33">
      <c r="A69" s="290">
        <v>52</v>
      </c>
      <c r="B69" s="288" t="str">
        <f t="shared" si="0"/>
        <v>Ostale pomoći</v>
      </c>
      <c r="C69" s="290">
        <v>3293</v>
      </c>
      <c r="D69" s="288" t="str">
        <f t="shared" si="1"/>
        <v>Reprezentacija</v>
      </c>
      <c r="E69" s="289" t="s">
        <v>2591</v>
      </c>
      <c r="F69" s="288" t="str">
        <f t="shared" si="2"/>
        <v>ERASMUS+ projekt individualne mobilnosti nastavnog i nenastavnog osoblja kroz boravak na inozemnim ustanovama</v>
      </c>
      <c r="G69" s="288" t="str">
        <f t="shared" si="3"/>
        <v>0942</v>
      </c>
      <c r="H69" s="128">
        <v>0</v>
      </c>
      <c r="I69" s="128">
        <v>5400</v>
      </c>
      <c r="J69" s="128"/>
      <c r="K69" s="286"/>
      <c r="L69" s="287" t="s">
        <v>2696</v>
      </c>
      <c r="M69" s="287" t="s">
        <v>2687</v>
      </c>
      <c r="N69" s="286" t="s">
        <v>2694</v>
      </c>
      <c r="O69" s="291" t="s">
        <v>2695</v>
      </c>
      <c r="P69" s="285"/>
      <c r="R69" s="283" t="str">
        <f t="shared" si="19"/>
        <v>329</v>
      </c>
      <c r="S69" s="283" t="str">
        <f t="shared" si="20"/>
        <v>32</v>
      </c>
      <c r="T69" s="283" t="str">
        <f t="shared" si="21"/>
        <v>94</v>
      </c>
      <c r="X69" s="283">
        <v>3631</v>
      </c>
      <c r="Y69" s="283" t="s">
        <v>2557</v>
      </c>
      <c r="AA69" s="283" t="str">
        <f t="shared" si="22"/>
        <v>36</v>
      </c>
      <c r="AB69" s="283" t="str">
        <f t="shared" si="23"/>
        <v>363</v>
      </c>
      <c r="AD69" s="283" t="s">
        <v>2556</v>
      </c>
      <c r="AE69" s="283" t="s">
        <v>543</v>
      </c>
      <c r="AF69" s="283" t="str">
        <f t="shared" si="24"/>
        <v>A679071</v>
      </c>
      <c r="AG69" s="283" t="str">
        <f>VLOOKUP(AF69,[2]AKT!$C$4:$E$324,3,FALSE)</f>
        <v>0942</v>
      </c>
    </row>
    <row r="70" spans="1:33">
      <c r="A70" s="290">
        <v>52</v>
      </c>
      <c r="B70" s="288" t="str">
        <f t="shared" si="0"/>
        <v>Ostale pomoći</v>
      </c>
      <c r="C70" s="290">
        <v>3299</v>
      </c>
      <c r="D70" s="288" t="str">
        <f t="shared" si="1"/>
        <v>Ostali nespomenuti rashodi poslovanja</v>
      </c>
      <c r="E70" s="289" t="s">
        <v>2591</v>
      </c>
      <c r="F70" s="288" t="str">
        <f t="shared" si="2"/>
        <v>ERASMUS+ projekt individualne mobilnosti nastavnog i nenastavnog osoblja kroz boravak na inozemnim ustanovama</v>
      </c>
      <c r="G70" s="288" t="str">
        <f t="shared" si="3"/>
        <v>0942</v>
      </c>
      <c r="H70" s="128">
        <v>160067</v>
      </c>
      <c r="I70" s="128">
        <v>6636</v>
      </c>
      <c r="J70" s="128"/>
      <c r="K70" s="286"/>
      <c r="L70" s="287" t="s">
        <v>2696</v>
      </c>
      <c r="M70" s="287" t="s">
        <v>2687</v>
      </c>
      <c r="N70" s="286" t="s">
        <v>2694</v>
      </c>
      <c r="O70" s="291" t="s">
        <v>2695</v>
      </c>
      <c r="P70" s="285"/>
      <c r="R70" s="283" t="str">
        <f t="shared" si="19"/>
        <v>329</v>
      </c>
      <c r="S70" s="283" t="str">
        <f t="shared" si="20"/>
        <v>32</v>
      </c>
      <c r="T70" s="283" t="str">
        <f t="shared" si="21"/>
        <v>94</v>
      </c>
      <c r="X70" s="283">
        <v>3632</v>
      </c>
      <c r="Y70" s="283" t="s">
        <v>2555</v>
      </c>
      <c r="AA70" s="283" t="str">
        <f t="shared" si="22"/>
        <v>36</v>
      </c>
      <c r="AB70" s="283" t="str">
        <f t="shared" si="23"/>
        <v>363</v>
      </c>
      <c r="AD70" s="283" t="s">
        <v>2554</v>
      </c>
      <c r="AE70" s="283" t="s">
        <v>2553</v>
      </c>
      <c r="AF70" s="283" t="str">
        <f t="shared" si="24"/>
        <v>A679071</v>
      </c>
      <c r="AG70" s="283" t="str">
        <f>VLOOKUP(AF70,[2]AKT!$C$4:$E$324,3,FALSE)</f>
        <v>0942</v>
      </c>
    </row>
    <row r="71" spans="1:33">
      <c r="A71" s="290">
        <v>52</v>
      </c>
      <c r="B71" s="288" t="str">
        <f t="shared" si="0"/>
        <v>Ostale pomoći</v>
      </c>
      <c r="C71" s="290">
        <v>3723</v>
      </c>
      <c r="D71" s="288" t="str">
        <f t="shared" si="1"/>
        <v>Naknade građanima i kućanstvima iz EU sredstava</v>
      </c>
      <c r="E71" s="289" t="s">
        <v>2591</v>
      </c>
      <c r="F71" s="288" t="str">
        <f t="shared" si="2"/>
        <v>ERASMUS+ projekt individualne mobilnosti nastavnog i nenastavnog osoblja kroz boravak na inozemnim ustanovama</v>
      </c>
      <c r="G71" s="288" t="str">
        <f t="shared" si="3"/>
        <v>0942</v>
      </c>
      <c r="H71" s="128">
        <v>0</v>
      </c>
      <c r="I71" s="128">
        <v>90000</v>
      </c>
      <c r="J71" s="128"/>
      <c r="K71" s="286"/>
      <c r="L71" s="287" t="s">
        <v>2696</v>
      </c>
      <c r="M71" s="287" t="s">
        <v>2687</v>
      </c>
      <c r="N71" s="286" t="s">
        <v>2694</v>
      </c>
      <c r="O71" s="291" t="s">
        <v>2695</v>
      </c>
      <c r="P71" s="285"/>
      <c r="R71" s="283" t="str">
        <f t="shared" si="19"/>
        <v>372</v>
      </c>
      <c r="S71" s="283" t="str">
        <f t="shared" si="20"/>
        <v>37</v>
      </c>
      <c r="T71" s="283" t="str">
        <f t="shared" si="21"/>
        <v>94</v>
      </c>
      <c r="X71" s="283">
        <v>3661</v>
      </c>
      <c r="Y71" s="283" t="s">
        <v>2552</v>
      </c>
      <c r="AA71" s="283" t="str">
        <f t="shared" si="22"/>
        <v>36</v>
      </c>
      <c r="AB71" s="283" t="str">
        <f t="shared" si="23"/>
        <v>366</v>
      </c>
      <c r="AD71" s="283" t="s">
        <v>2551</v>
      </c>
      <c r="AE71" s="283" t="s">
        <v>2550</v>
      </c>
      <c r="AF71" s="283" t="str">
        <f t="shared" si="24"/>
        <v>A679071</v>
      </c>
      <c r="AG71" s="283" t="str">
        <f>VLOOKUP(AF71,[2]AKT!$C$4:$E$324,3,FALSE)</f>
        <v>0942</v>
      </c>
    </row>
    <row r="72" spans="1:33">
      <c r="A72" s="290">
        <v>52</v>
      </c>
      <c r="B72" s="288" t="str">
        <f t="shared" si="0"/>
        <v>Ostale pomoći</v>
      </c>
      <c r="C72" s="290">
        <v>3211</v>
      </c>
      <c r="D72" s="288" t="str">
        <f t="shared" si="1"/>
        <v>Službena putovanja</v>
      </c>
      <c r="E72" s="289" t="s">
        <v>2591</v>
      </c>
      <c r="F72" s="288" t="str">
        <f t="shared" si="2"/>
        <v>ERASMUS+ projekt individualne mobilnosti nastavnog i nenastavnog osoblja kroz boravak na inozemnim ustanovama</v>
      </c>
      <c r="G72" s="288" t="str">
        <f t="shared" si="3"/>
        <v>0942</v>
      </c>
      <c r="H72" s="128">
        <v>46361</v>
      </c>
      <c r="I72" s="128">
        <v>50000</v>
      </c>
      <c r="J72" s="128">
        <v>17797</v>
      </c>
      <c r="K72" s="286"/>
      <c r="L72" s="287" t="s">
        <v>2693</v>
      </c>
      <c r="M72" s="287" t="s">
        <v>2687</v>
      </c>
      <c r="N72" s="286" t="s">
        <v>2694</v>
      </c>
      <c r="O72" s="291" t="s">
        <v>2695</v>
      </c>
      <c r="P72" s="285"/>
      <c r="R72" s="283" t="str">
        <f t="shared" si="19"/>
        <v>321</v>
      </c>
      <c r="S72" s="283" t="str">
        <f t="shared" si="20"/>
        <v>32</v>
      </c>
      <c r="T72" s="283" t="str">
        <f t="shared" si="21"/>
        <v>94</v>
      </c>
      <c r="X72" s="283">
        <v>3662</v>
      </c>
      <c r="Y72" s="283" t="s">
        <v>2549</v>
      </c>
      <c r="AA72" s="283" t="str">
        <f t="shared" si="22"/>
        <v>36</v>
      </c>
      <c r="AB72" s="283" t="str">
        <f t="shared" si="23"/>
        <v>366</v>
      </c>
      <c r="AD72" s="283" t="s">
        <v>2548</v>
      </c>
      <c r="AE72" s="283" t="s">
        <v>2547</v>
      </c>
      <c r="AF72" s="283" t="str">
        <f t="shared" si="24"/>
        <v>A679071</v>
      </c>
      <c r="AG72" s="283" t="str">
        <f>VLOOKUP(AF72,[2]AKT!$C$4:$E$324,3,FALSE)</f>
        <v>0942</v>
      </c>
    </row>
    <row r="73" spans="1:33">
      <c r="A73" s="290">
        <v>52</v>
      </c>
      <c r="B73" s="288" t="str">
        <f t="shared" si="0"/>
        <v>Ostale pomoći</v>
      </c>
      <c r="C73" s="290">
        <v>3221</v>
      </c>
      <c r="D73" s="288" t="str">
        <f t="shared" si="1"/>
        <v>Uredski materijal i ostali materijalni rashodi</v>
      </c>
      <c r="E73" s="289" t="s">
        <v>2591</v>
      </c>
      <c r="F73" s="288" t="str">
        <f t="shared" si="2"/>
        <v>ERASMUS+ projekt individualne mobilnosti nastavnog i nenastavnog osoblja kroz boravak na inozemnim ustanovama</v>
      </c>
      <c r="G73" s="288" t="str">
        <f t="shared" si="3"/>
        <v>0942</v>
      </c>
      <c r="H73" s="128">
        <v>0</v>
      </c>
      <c r="I73" s="128">
        <v>10000</v>
      </c>
      <c r="J73" s="128">
        <v>0</v>
      </c>
      <c r="K73" s="286"/>
      <c r="L73" s="287" t="s">
        <v>2693</v>
      </c>
      <c r="M73" s="287" t="s">
        <v>2687</v>
      </c>
      <c r="N73" s="286" t="s">
        <v>2694</v>
      </c>
      <c r="O73" s="291" t="s">
        <v>2695</v>
      </c>
      <c r="P73" s="285"/>
      <c r="R73" s="283" t="str">
        <f t="shared" si="19"/>
        <v>322</v>
      </c>
      <c r="S73" s="283" t="str">
        <f t="shared" si="20"/>
        <v>32</v>
      </c>
      <c r="T73" s="283" t="str">
        <f t="shared" si="21"/>
        <v>94</v>
      </c>
      <c r="X73" s="283">
        <v>3681</v>
      </c>
      <c r="Y73" s="283" t="s">
        <v>269</v>
      </c>
      <c r="AA73" s="283" t="str">
        <f t="shared" si="22"/>
        <v>36</v>
      </c>
      <c r="AB73" s="283" t="str">
        <f t="shared" si="23"/>
        <v>368</v>
      </c>
      <c r="AD73" s="283" t="s">
        <v>2546</v>
      </c>
      <c r="AE73" s="283" t="s">
        <v>2545</v>
      </c>
      <c r="AF73" s="283" t="str">
        <f t="shared" si="24"/>
        <v>A679071</v>
      </c>
      <c r="AG73" s="283" t="str">
        <f>VLOOKUP(AF73,[2]AKT!$C$4:$E$324,3,FALSE)</f>
        <v>0942</v>
      </c>
    </row>
    <row r="74" spans="1:33">
      <c r="A74" s="290">
        <v>52</v>
      </c>
      <c r="B74" s="288" t="str">
        <f t="shared" ref="B74:B137" si="25">IFERROR(VLOOKUP(A74,$U$6:$V$31,2,FALSE),"")</f>
        <v>Ostale pomoći</v>
      </c>
      <c r="C74" s="290">
        <v>3233</v>
      </c>
      <c r="D74" s="288" t="str">
        <f t="shared" ref="D74:D137" si="26">IFERROR(VLOOKUP(C74,$X$5:$Z$144,2,FALSE),"")</f>
        <v>Usluge promidžbe i informiranja</v>
      </c>
      <c r="E74" s="289" t="s">
        <v>2591</v>
      </c>
      <c r="F74" s="288" t="str">
        <f t="shared" ref="F74:F137" si="27">IFERROR(VLOOKUP(E74,$AD$6:$AE$1105,2,FALSE),"")</f>
        <v>ERASMUS+ projekt individualne mobilnosti nastavnog i nenastavnog osoblja kroz boravak na inozemnim ustanovama</v>
      </c>
      <c r="G74" s="288" t="str">
        <f t="shared" ref="G74:G137" si="28">IFERROR(VLOOKUP(E74,$AD$6:$AG$1105,4,FALSE),"")</f>
        <v>0942</v>
      </c>
      <c r="H74" s="128">
        <v>1803</v>
      </c>
      <c r="I74" s="128">
        <v>3000</v>
      </c>
      <c r="J74" s="128">
        <v>2148</v>
      </c>
      <c r="K74" s="286"/>
      <c r="L74" s="287" t="s">
        <v>2693</v>
      </c>
      <c r="M74" s="287" t="s">
        <v>2687</v>
      </c>
      <c r="N74" s="286" t="s">
        <v>2694</v>
      </c>
      <c r="O74" s="291" t="s">
        <v>2695</v>
      </c>
      <c r="P74" s="285"/>
      <c r="R74" s="283" t="str">
        <f t="shared" si="19"/>
        <v>323</v>
      </c>
      <c r="S74" s="283" t="str">
        <f t="shared" si="20"/>
        <v>32</v>
      </c>
      <c r="T74" s="283" t="str">
        <f t="shared" si="21"/>
        <v>94</v>
      </c>
      <c r="X74" s="283">
        <v>3682</v>
      </c>
      <c r="Y74" s="283" t="s">
        <v>2544</v>
      </c>
      <c r="AA74" s="283" t="str">
        <f t="shared" si="22"/>
        <v>36</v>
      </c>
      <c r="AB74" s="283" t="str">
        <f t="shared" si="23"/>
        <v>368</v>
      </c>
      <c r="AD74" s="283" t="s">
        <v>2543</v>
      </c>
      <c r="AE74" s="283" t="s">
        <v>2542</v>
      </c>
      <c r="AF74" s="283" t="str">
        <f t="shared" si="24"/>
        <v>A679071</v>
      </c>
      <c r="AG74" s="283" t="str">
        <f>VLOOKUP(AF74,[2]AKT!$C$4:$E$324,3,FALSE)</f>
        <v>0942</v>
      </c>
    </row>
    <row r="75" spans="1:33">
      <c r="A75" s="290">
        <v>52</v>
      </c>
      <c r="B75" s="288" t="str">
        <f t="shared" si="25"/>
        <v>Ostale pomoći</v>
      </c>
      <c r="C75" s="290">
        <v>3237</v>
      </c>
      <c r="D75" s="288" t="str">
        <f t="shared" si="26"/>
        <v>Intelektualne i osobne usluge</v>
      </c>
      <c r="E75" s="289" t="s">
        <v>2591</v>
      </c>
      <c r="F75" s="288" t="str">
        <f t="shared" si="27"/>
        <v>ERASMUS+ projekt individualne mobilnosti nastavnog i nenastavnog osoblja kroz boravak na inozemnim ustanovama</v>
      </c>
      <c r="G75" s="288" t="str">
        <f t="shared" si="28"/>
        <v>0942</v>
      </c>
      <c r="H75" s="128">
        <v>0</v>
      </c>
      <c r="I75" s="128">
        <v>9000</v>
      </c>
      <c r="J75" s="128">
        <v>31550</v>
      </c>
      <c r="K75" s="286"/>
      <c r="L75" s="287" t="s">
        <v>2693</v>
      </c>
      <c r="M75" s="287" t="s">
        <v>2687</v>
      </c>
      <c r="N75" s="286" t="s">
        <v>2694</v>
      </c>
      <c r="O75" s="291" t="s">
        <v>2695</v>
      </c>
      <c r="P75" s="285"/>
      <c r="R75" s="283" t="str">
        <f t="shared" si="19"/>
        <v>323</v>
      </c>
      <c r="S75" s="283" t="str">
        <f t="shared" si="20"/>
        <v>32</v>
      </c>
      <c r="T75" s="283" t="str">
        <f t="shared" si="21"/>
        <v>94</v>
      </c>
      <c r="X75" s="283">
        <v>3691</v>
      </c>
      <c r="Y75" s="283" t="s">
        <v>2537</v>
      </c>
      <c r="AA75" s="283" t="str">
        <f t="shared" si="22"/>
        <v>36</v>
      </c>
      <c r="AB75" s="283" t="str">
        <f t="shared" si="23"/>
        <v>369</v>
      </c>
      <c r="AD75" s="283" t="s">
        <v>2541</v>
      </c>
      <c r="AE75" s="283" t="s">
        <v>2540</v>
      </c>
      <c r="AF75" s="283" t="str">
        <f t="shared" si="24"/>
        <v>A679071</v>
      </c>
      <c r="AG75" s="283" t="str">
        <f>VLOOKUP(AF75,[2]AKT!$C$4:$E$324,3,FALSE)</f>
        <v>0942</v>
      </c>
    </row>
    <row r="76" spans="1:33">
      <c r="A76" s="290">
        <v>52</v>
      </c>
      <c r="B76" s="288" t="str">
        <f t="shared" si="25"/>
        <v>Ostale pomoći</v>
      </c>
      <c r="C76" s="290">
        <v>3239</v>
      </c>
      <c r="D76" s="288" t="str">
        <f t="shared" si="26"/>
        <v>Ostale usluge</v>
      </c>
      <c r="E76" s="289" t="s">
        <v>2591</v>
      </c>
      <c r="F76" s="288" t="str">
        <f t="shared" si="27"/>
        <v>ERASMUS+ projekt individualne mobilnosti nastavnog i nenastavnog osoblja kroz boravak na inozemnim ustanovama</v>
      </c>
      <c r="G76" s="288" t="str">
        <f t="shared" si="28"/>
        <v>0942</v>
      </c>
      <c r="H76" s="128">
        <v>0</v>
      </c>
      <c r="I76" s="128">
        <v>700</v>
      </c>
      <c r="J76" s="128">
        <v>499</v>
      </c>
      <c r="K76" s="286"/>
      <c r="L76" s="287" t="s">
        <v>2693</v>
      </c>
      <c r="M76" s="287" t="s">
        <v>2687</v>
      </c>
      <c r="N76" s="286" t="s">
        <v>2694</v>
      </c>
      <c r="O76" s="291" t="s">
        <v>2695</v>
      </c>
      <c r="P76" s="285"/>
      <c r="R76" s="283" t="str">
        <f t="shared" si="19"/>
        <v>323</v>
      </c>
      <c r="S76" s="283" t="str">
        <f t="shared" si="20"/>
        <v>32</v>
      </c>
      <c r="T76" s="283" t="str">
        <f t="shared" si="21"/>
        <v>94</v>
      </c>
      <c r="X76" s="283">
        <v>3692</v>
      </c>
      <c r="Y76" s="283" t="s">
        <v>2534</v>
      </c>
      <c r="AA76" s="283" t="str">
        <f t="shared" si="22"/>
        <v>36</v>
      </c>
      <c r="AB76" s="283" t="str">
        <f t="shared" si="23"/>
        <v>369</v>
      </c>
      <c r="AD76" s="283" t="s">
        <v>2539</v>
      </c>
      <c r="AE76" s="283" t="s">
        <v>2538</v>
      </c>
      <c r="AF76" s="283" t="str">
        <f t="shared" si="24"/>
        <v>A679071</v>
      </c>
      <c r="AG76" s="283" t="str">
        <f>VLOOKUP(AF76,[2]AKT!$C$4:$E$324,3,FALSE)</f>
        <v>0942</v>
      </c>
    </row>
    <row r="77" spans="1:33">
      <c r="A77" s="290">
        <v>52</v>
      </c>
      <c r="B77" s="288" t="str">
        <f t="shared" si="25"/>
        <v>Ostale pomoći</v>
      </c>
      <c r="C77" s="290">
        <v>3241</v>
      </c>
      <c r="D77" s="288" t="str">
        <f t="shared" si="26"/>
        <v>Naknade troškova osobama izvan radnog odnosa</v>
      </c>
      <c r="E77" s="289" t="s">
        <v>2591</v>
      </c>
      <c r="F77" s="288" t="str">
        <f t="shared" si="27"/>
        <v>ERASMUS+ projekt individualne mobilnosti nastavnog i nenastavnog osoblja kroz boravak na inozemnim ustanovama</v>
      </c>
      <c r="G77" s="288" t="str">
        <f t="shared" si="28"/>
        <v>0942</v>
      </c>
      <c r="H77" s="128">
        <v>0</v>
      </c>
      <c r="I77" s="128">
        <v>5000</v>
      </c>
      <c r="J77" s="128"/>
      <c r="K77" s="286"/>
      <c r="L77" s="287" t="s">
        <v>2693</v>
      </c>
      <c r="M77" s="287" t="s">
        <v>2687</v>
      </c>
      <c r="N77" s="286" t="s">
        <v>2694</v>
      </c>
      <c r="O77" s="291" t="s">
        <v>2695</v>
      </c>
      <c r="P77" s="285"/>
      <c r="R77" s="283" t="str">
        <f t="shared" si="19"/>
        <v>324</v>
      </c>
      <c r="S77" s="283" t="str">
        <f t="shared" si="20"/>
        <v>32</v>
      </c>
      <c r="T77" s="283" t="str">
        <f t="shared" si="21"/>
        <v>94</v>
      </c>
      <c r="X77" s="283">
        <v>3693</v>
      </c>
      <c r="Y77" s="283" t="s">
        <v>2537</v>
      </c>
      <c r="AA77" s="283" t="str">
        <f t="shared" si="22"/>
        <v>36</v>
      </c>
      <c r="AB77" s="283" t="str">
        <f t="shared" si="23"/>
        <v>369</v>
      </c>
      <c r="AD77" s="283" t="s">
        <v>2536</v>
      </c>
      <c r="AE77" s="283" t="s">
        <v>2535</v>
      </c>
      <c r="AF77" s="283" t="str">
        <f t="shared" si="24"/>
        <v>A679071</v>
      </c>
      <c r="AG77" s="283" t="str">
        <f>VLOOKUP(AF77,[2]AKT!$C$4:$E$324,3,FALSE)</f>
        <v>0942</v>
      </c>
    </row>
    <row r="78" spans="1:33">
      <c r="A78" s="290">
        <v>52</v>
      </c>
      <c r="B78" s="288" t="str">
        <f t="shared" si="25"/>
        <v>Ostale pomoći</v>
      </c>
      <c r="C78" s="290">
        <v>3293</v>
      </c>
      <c r="D78" s="288" t="str">
        <f t="shared" si="26"/>
        <v>Reprezentacija</v>
      </c>
      <c r="E78" s="289" t="s">
        <v>2591</v>
      </c>
      <c r="F78" s="288" t="str">
        <f t="shared" si="27"/>
        <v>ERASMUS+ projekt individualne mobilnosti nastavnog i nenastavnog osoblja kroz boravak na inozemnim ustanovama</v>
      </c>
      <c r="G78" s="288" t="str">
        <f t="shared" si="28"/>
        <v>0942</v>
      </c>
      <c r="H78" s="128">
        <v>0</v>
      </c>
      <c r="I78" s="128">
        <v>12300</v>
      </c>
      <c r="J78" s="128">
        <v>2702</v>
      </c>
      <c r="K78" s="286"/>
      <c r="L78" s="287" t="s">
        <v>2693</v>
      </c>
      <c r="M78" s="287" t="s">
        <v>2687</v>
      </c>
      <c r="N78" s="286" t="s">
        <v>2694</v>
      </c>
      <c r="O78" s="291" t="s">
        <v>2695</v>
      </c>
      <c r="P78" s="285"/>
      <c r="R78" s="283" t="str">
        <f t="shared" si="19"/>
        <v>329</v>
      </c>
      <c r="S78" s="283" t="str">
        <f t="shared" si="20"/>
        <v>32</v>
      </c>
      <c r="T78" s="283" t="str">
        <f t="shared" si="21"/>
        <v>94</v>
      </c>
      <c r="X78" s="283">
        <v>3694</v>
      </c>
      <c r="Y78" s="283" t="s">
        <v>2534</v>
      </c>
      <c r="AA78" s="283" t="str">
        <f t="shared" si="22"/>
        <v>36</v>
      </c>
      <c r="AB78" s="283" t="str">
        <f t="shared" si="23"/>
        <v>369</v>
      </c>
      <c r="AD78" s="283" t="s">
        <v>2533</v>
      </c>
      <c r="AE78" s="283" t="s">
        <v>2532</v>
      </c>
      <c r="AF78" s="283" t="str">
        <f t="shared" si="24"/>
        <v>A679071</v>
      </c>
      <c r="AG78" s="283" t="str">
        <f>VLOOKUP(AF78,[2]AKT!$C$4:$E$324,3,FALSE)</f>
        <v>0942</v>
      </c>
    </row>
    <row r="79" spans="1:33">
      <c r="A79" s="290">
        <v>52</v>
      </c>
      <c r="B79" s="288" t="str">
        <f t="shared" si="25"/>
        <v>Ostale pomoći</v>
      </c>
      <c r="C79" s="290">
        <v>3299</v>
      </c>
      <c r="D79" s="288" t="str">
        <f t="shared" si="26"/>
        <v>Ostali nespomenuti rashodi poslovanja</v>
      </c>
      <c r="E79" s="289" t="s">
        <v>2591</v>
      </c>
      <c r="F79" s="288" t="str">
        <f t="shared" si="27"/>
        <v>ERASMUS+ projekt individualne mobilnosti nastavnog i nenastavnog osoblja kroz boravak na inozemnim ustanovama</v>
      </c>
      <c r="G79" s="288" t="str">
        <f t="shared" si="28"/>
        <v>0942</v>
      </c>
      <c r="H79" s="128"/>
      <c r="I79" s="128">
        <v>10000</v>
      </c>
      <c r="J79" s="128">
        <v>4610</v>
      </c>
      <c r="K79" s="286"/>
      <c r="L79" s="287" t="s">
        <v>2693</v>
      </c>
      <c r="M79" s="287" t="s">
        <v>2687</v>
      </c>
      <c r="N79" s="286" t="s">
        <v>2694</v>
      </c>
      <c r="O79" s="291" t="s">
        <v>2695</v>
      </c>
      <c r="P79" s="285"/>
      <c r="R79" s="283" t="str">
        <f t="shared" si="19"/>
        <v>329</v>
      </c>
      <c r="S79" s="283" t="str">
        <f t="shared" si="20"/>
        <v>32</v>
      </c>
      <c r="T79" s="283" t="str">
        <f t="shared" si="21"/>
        <v>94</v>
      </c>
      <c r="X79" s="283">
        <v>3711</v>
      </c>
      <c r="Y79" s="283" t="s">
        <v>2531</v>
      </c>
      <c r="AA79" s="283" t="str">
        <f t="shared" si="22"/>
        <v>37</v>
      </c>
      <c r="AB79" s="283" t="str">
        <f t="shared" si="23"/>
        <v>371</v>
      </c>
      <c r="AD79" s="283" t="s">
        <v>2530</v>
      </c>
      <c r="AE79" s="283" t="s">
        <v>2529</v>
      </c>
      <c r="AF79" s="283" t="str">
        <f t="shared" si="24"/>
        <v>A679071</v>
      </c>
      <c r="AG79" s="283" t="str">
        <f>VLOOKUP(AF79,[2]AKT!$C$4:$E$324,3,FALSE)</f>
        <v>0942</v>
      </c>
    </row>
    <row r="80" spans="1:33">
      <c r="A80" s="290">
        <v>52</v>
      </c>
      <c r="B80" s="288" t="str">
        <f t="shared" si="25"/>
        <v>Ostale pomoći</v>
      </c>
      <c r="C80" s="290">
        <v>3723</v>
      </c>
      <c r="D80" s="288" t="str">
        <f t="shared" si="26"/>
        <v>Naknade građanima i kućanstvima iz EU sredstava</v>
      </c>
      <c r="E80" s="289" t="s">
        <v>2591</v>
      </c>
      <c r="F80" s="288" t="str">
        <f t="shared" si="27"/>
        <v>ERASMUS+ projekt individualne mobilnosti nastavnog i nenastavnog osoblja kroz boravak na inozemnim ustanovama</v>
      </c>
      <c r="G80" s="288" t="str">
        <f t="shared" si="28"/>
        <v>0942</v>
      </c>
      <c r="H80" s="128">
        <v>238900</v>
      </c>
      <c r="I80" s="128">
        <v>440000</v>
      </c>
      <c r="J80" s="128">
        <v>169709</v>
      </c>
      <c r="K80" s="286"/>
      <c r="L80" s="287" t="s">
        <v>2693</v>
      </c>
      <c r="M80" s="287" t="s">
        <v>2687</v>
      </c>
      <c r="N80" s="286" t="s">
        <v>2694</v>
      </c>
      <c r="O80" s="291" t="s">
        <v>2695</v>
      </c>
      <c r="P80" s="285"/>
      <c r="R80" s="283" t="str">
        <f t="shared" si="19"/>
        <v>372</v>
      </c>
      <c r="S80" s="283" t="str">
        <f t="shared" si="20"/>
        <v>37</v>
      </c>
      <c r="T80" s="283" t="str">
        <f t="shared" si="21"/>
        <v>94</v>
      </c>
      <c r="X80" s="283">
        <v>3712</v>
      </c>
      <c r="Y80" s="283" t="s">
        <v>2528</v>
      </c>
      <c r="AA80" s="283" t="str">
        <f t="shared" si="22"/>
        <v>37</v>
      </c>
      <c r="AB80" s="283" t="str">
        <f t="shared" si="23"/>
        <v>371</v>
      </c>
      <c r="AD80" s="283" t="s">
        <v>2527</v>
      </c>
      <c r="AE80" s="283" t="s">
        <v>2305</v>
      </c>
      <c r="AF80" s="283" t="str">
        <f t="shared" si="24"/>
        <v>A679071</v>
      </c>
      <c r="AG80" s="283" t="str">
        <f>VLOOKUP(AF80,[2]AKT!$C$4:$E$324,3,FALSE)</f>
        <v>0942</v>
      </c>
    </row>
    <row r="81" spans="1:33">
      <c r="A81" s="290">
        <v>52</v>
      </c>
      <c r="B81" s="288" t="str">
        <f t="shared" si="25"/>
        <v>Ostale pomoći</v>
      </c>
      <c r="C81" s="290">
        <v>3693</v>
      </c>
      <c r="D81" s="288" t="str">
        <f t="shared" si="26"/>
        <v>Tekući prijenosi između proračunskih korisnika istog proraču</v>
      </c>
      <c r="E81" s="289" t="s">
        <v>2591</v>
      </c>
      <c r="F81" s="288" t="str">
        <f t="shared" si="27"/>
        <v>ERASMUS+ projekt individualne mobilnosti nastavnog i nenastavnog osoblja kroz boravak na inozemnim ustanovama</v>
      </c>
      <c r="G81" s="288" t="str">
        <f t="shared" si="28"/>
        <v>0942</v>
      </c>
      <c r="H81" s="128">
        <v>523682</v>
      </c>
      <c r="I81" s="128">
        <v>0</v>
      </c>
      <c r="J81" s="128">
        <v>259166</v>
      </c>
      <c r="K81" s="286"/>
      <c r="L81" s="287"/>
      <c r="M81" s="287"/>
      <c r="N81" s="286"/>
      <c r="O81" s="291"/>
      <c r="P81" s="285"/>
      <c r="R81" s="283" t="str">
        <f t="shared" si="19"/>
        <v>369</v>
      </c>
      <c r="S81" s="283" t="str">
        <f t="shared" si="20"/>
        <v>36</v>
      </c>
      <c r="T81" s="283" t="str">
        <f t="shared" si="21"/>
        <v>94</v>
      </c>
      <c r="X81" s="283">
        <v>3713</v>
      </c>
      <c r="Y81" s="283" t="s">
        <v>2526</v>
      </c>
      <c r="AA81" s="283" t="str">
        <f t="shared" si="22"/>
        <v>37</v>
      </c>
      <c r="AB81" s="283" t="str">
        <f t="shared" si="23"/>
        <v>371</v>
      </c>
      <c r="AD81" s="283" t="s">
        <v>2525</v>
      </c>
      <c r="AE81" s="283" t="s">
        <v>2524</v>
      </c>
      <c r="AF81" s="283" t="str">
        <f t="shared" si="24"/>
        <v>A679071</v>
      </c>
      <c r="AG81" s="283" t="str">
        <f>VLOOKUP(AF81,[2]AKT!$C$4:$E$324,3,FALSE)</f>
        <v>0942</v>
      </c>
    </row>
    <row r="82" spans="1:33">
      <c r="A82" s="290"/>
      <c r="B82" s="288" t="str">
        <f t="shared" si="25"/>
        <v/>
      </c>
      <c r="C82" s="290"/>
      <c r="D82" s="288" t="str">
        <f t="shared" si="26"/>
        <v/>
      </c>
      <c r="E82" s="289"/>
      <c r="F82" s="288" t="str">
        <f t="shared" si="27"/>
        <v/>
      </c>
      <c r="G82" s="288" t="str">
        <f t="shared" si="28"/>
        <v/>
      </c>
      <c r="H82" s="128"/>
      <c r="I82" s="128"/>
      <c r="J82" s="128"/>
      <c r="K82" s="286"/>
      <c r="L82" s="287"/>
      <c r="M82" s="287"/>
      <c r="N82" s="286"/>
      <c r="O82" s="291"/>
      <c r="P82" s="285"/>
      <c r="R82" s="283" t="str">
        <f t="shared" si="19"/>
        <v/>
      </c>
      <c r="S82" s="283" t="str">
        <f t="shared" si="20"/>
        <v/>
      </c>
      <c r="T82" s="283" t="str">
        <f t="shared" si="21"/>
        <v/>
      </c>
      <c r="X82" s="283">
        <v>3714</v>
      </c>
      <c r="Y82" s="283" t="s">
        <v>2523</v>
      </c>
      <c r="AA82" s="283" t="str">
        <f t="shared" si="22"/>
        <v>37</v>
      </c>
      <c r="AB82" s="283" t="str">
        <f t="shared" si="23"/>
        <v>371</v>
      </c>
      <c r="AD82" s="283" t="s">
        <v>2522</v>
      </c>
      <c r="AE82" s="283" t="s">
        <v>2521</v>
      </c>
      <c r="AF82" s="283" t="str">
        <f t="shared" si="24"/>
        <v>A679071</v>
      </c>
      <c r="AG82" s="283" t="str">
        <f>VLOOKUP(AF82,[2]AKT!$C$4:$E$324,3,FALSE)</f>
        <v>0942</v>
      </c>
    </row>
    <row r="83" spans="1:33">
      <c r="A83" s="290"/>
      <c r="B83" s="288" t="str">
        <f t="shared" si="25"/>
        <v/>
      </c>
      <c r="C83" s="290"/>
      <c r="D83" s="288" t="str">
        <f t="shared" si="26"/>
        <v/>
      </c>
      <c r="E83" s="289"/>
      <c r="F83" s="288" t="str">
        <f t="shared" si="27"/>
        <v/>
      </c>
      <c r="G83" s="288" t="str">
        <f t="shared" si="28"/>
        <v/>
      </c>
      <c r="H83" s="128"/>
      <c r="I83" s="128"/>
      <c r="J83" s="128"/>
      <c r="K83" s="286"/>
      <c r="L83" s="287"/>
      <c r="M83" s="287"/>
      <c r="N83" s="286"/>
      <c r="O83" s="291"/>
      <c r="P83" s="285"/>
      <c r="R83" s="283" t="str">
        <f t="shared" si="19"/>
        <v/>
      </c>
      <c r="S83" s="283" t="str">
        <f t="shared" si="20"/>
        <v/>
      </c>
      <c r="T83" s="283" t="str">
        <f t="shared" si="21"/>
        <v/>
      </c>
      <c r="X83" s="283">
        <v>3715</v>
      </c>
      <c r="Y83" s="283" t="s">
        <v>2520</v>
      </c>
      <c r="AA83" s="283" t="str">
        <f t="shared" si="22"/>
        <v>37</v>
      </c>
      <c r="AB83" s="283" t="str">
        <f t="shared" si="23"/>
        <v>371</v>
      </c>
      <c r="AD83" s="283" t="s">
        <v>2519</v>
      </c>
      <c r="AE83" s="283" t="s">
        <v>2518</v>
      </c>
      <c r="AF83" s="283" t="str">
        <f t="shared" si="24"/>
        <v>A679071</v>
      </c>
      <c r="AG83" s="283" t="str">
        <f>VLOOKUP(AF83,[2]AKT!$C$4:$E$324,3,FALSE)</f>
        <v>0942</v>
      </c>
    </row>
    <row r="84" spans="1:33">
      <c r="A84" s="290"/>
      <c r="B84" s="288" t="str">
        <f t="shared" si="25"/>
        <v/>
      </c>
      <c r="C84" s="290"/>
      <c r="D84" s="288" t="str">
        <f t="shared" si="26"/>
        <v/>
      </c>
      <c r="E84" s="289"/>
      <c r="F84" s="288" t="str">
        <f t="shared" si="27"/>
        <v/>
      </c>
      <c r="G84" s="288" t="str">
        <f t="shared" si="28"/>
        <v/>
      </c>
      <c r="H84" s="128"/>
      <c r="I84" s="128"/>
      <c r="J84" s="128"/>
      <c r="K84" s="286"/>
      <c r="L84" s="287"/>
      <c r="M84" s="287"/>
      <c r="N84" s="286"/>
      <c r="O84" s="291"/>
      <c r="P84" s="285"/>
      <c r="R84" s="283" t="str">
        <f t="shared" si="19"/>
        <v/>
      </c>
      <c r="S84" s="283" t="str">
        <f t="shared" si="20"/>
        <v/>
      </c>
      <c r="T84" s="283" t="str">
        <f t="shared" si="21"/>
        <v/>
      </c>
      <c r="X84" s="283">
        <v>3721</v>
      </c>
      <c r="Y84" s="283" t="s">
        <v>214</v>
      </c>
      <c r="AA84" s="283" t="str">
        <f t="shared" si="22"/>
        <v>37</v>
      </c>
      <c r="AB84" s="283" t="str">
        <f t="shared" si="23"/>
        <v>372</v>
      </c>
      <c r="AD84" s="283" t="s">
        <v>2517</v>
      </c>
      <c r="AE84" s="283" t="s">
        <v>2516</v>
      </c>
      <c r="AF84" s="283" t="str">
        <f t="shared" si="24"/>
        <v>A679071</v>
      </c>
      <c r="AG84" s="283" t="str">
        <f>VLOOKUP(AF84,[2]AKT!$C$4:$E$324,3,FALSE)</f>
        <v>0942</v>
      </c>
    </row>
    <row r="85" spans="1:33">
      <c r="A85" s="290"/>
      <c r="B85" s="288" t="str">
        <f t="shared" si="25"/>
        <v/>
      </c>
      <c r="C85" s="290"/>
      <c r="D85" s="288" t="str">
        <f t="shared" si="26"/>
        <v/>
      </c>
      <c r="E85" s="289"/>
      <c r="F85" s="288" t="str">
        <f t="shared" si="27"/>
        <v/>
      </c>
      <c r="G85" s="288" t="str">
        <f t="shared" si="28"/>
        <v/>
      </c>
      <c r="H85" s="128"/>
      <c r="I85" s="128"/>
      <c r="J85" s="128"/>
      <c r="K85" s="286"/>
      <c r="L85" s="287"/>
      <c r="M85" s="287"/>
      <c r="N85" s="286"/>
      <c r="O85" s="291"/>
      <c r="P85" s="285"/>
      <c r="R85" s="283" t="str">
        <f t="shared" si="19"/>
        <v/>
      </c>
      <c r="S85" s="283" t="str">
        <f t="shared" si="20"/>
        <v/>
      </c>
      <c r="T85" s="283" t="str">
        <f t="shared" si="21"/>
        <v/>
      </c>
      <c r="X85" s="283">
        <v>3722</v>
      </c>
      <c r="Y85" s="283" t="s">
        <v>2515</v>
      </c>
      <c r="AA85" s="283" t="str">
        <f t="shared" si="22"/>
        <v>37</v>
      </c>
      <c r="AB85" s="283" t="str">
        <f t="shared" si="23"/>
        <v>372</v>
      </c>
      <c r="AD85" s="283" t="s">
        <v>2514</v>
      </c>
      <c r="AE85" s="283" t="s">
        <v>2513</v>
      </c>
      <c r="AF85" s="283" t="str">
        <f t="shared" si="24"/>
        <v>A679071</v>
      </c>
      <c r="AG85" s="283" t="str">
        <f>VLOOKUP(AF85,[2]AKT!$C$4:$E$324,3,FALSE)</f>
        <v>0942</v>
      </c>
    </row>
    <row r="86" spans="1:33">
      <c r="A86" s="290"/>
      <c r="B86" s="288" t="str">
        <f t="shared" si="25"/>
        <v/>
      </c>
      <c r="C86" s="290"/>
      <c r="D86" s="288" t="str">
        <f t="shared" si="26"/>
        <v/>
      </c>
      <c r="E86" s="289"/>
      <c r="F86" s="288" t="str">
        <f t="shared" si="27"/>
        <v/>
      </c>
      <c r="G86" s="288" t="str">
        <f t="shared" si="28"/>
        <v/>
      </c>
      <c r="H86" s="128"/>
      <c r="I86" s="128"/>
      <c r="J86" s="128"/>
      <c r="K86" s="286"/>
      <c r="L86" s="287"/>
      <c r="M86" s="287"/>
      <c r="N86" s="286"/>
      <c r="O86" s="291"/>
      <c r="P86" s="285"/>
      <c r="R86" s="283" t="str">
        <f t="shared" si="19"/>
        <v/>
      </c>
      <c r="S86" s="283" t="str">
        <f t="shared" si="20"/>
        <v/>
      </c>
      <c r="T86" s="283" t="str">
        <f t="shared" si="21"/>
        <v/>
      </c>
      <c r="X86" s="283">
        <v>3723</v>
      </c>
      <c r="Y86" s="283" t="s">
        <v>260</v>
      </c>
      <c r="AA86" s="283" t="str">
        <f t="shared" si="22"/>
        <v>37</v>
      </c>
      <c r="AB86" s="283" t="str">
        <f t="shared" si="23"/>
        <v>372</v>
      </c>
      <c r="AD86" s="283" t="s">
        <v>2512</v>
      </c>
      <c r="AE86" s="283" t="s">
        <v>825</v>
      </c>
      <c r="AF86" s="283" t="str">
        <f t="shared" si="24"/>
        <v>A679071</v>
      </c>
      <c r="AG86" s="283" t="str">
        <f>VLOOKUP(AF86,[2]AKT!$C$4:$E$324,3,FALSE)</f>
        <v>0942</v>
      </c>
    </row>
    <row r="87" spans="1:33">
      <c r="A87" s="290"/>
      <c r="B87" s="288" t="str">
        <f t="shared" si="25"/>
        <v/>
      </c>
      <c r="C87" s="290"/>
      <c r="D87" s="288" t="str">
        <f t="shared" si="26"/>
        <v/>
      </c>
      <c r="E87" s="289"/>
      <c r="F87" s="288" t="str">
        <f t="shared" si="27"/>
        <v/>
      </c>
      <c r="G87" s="288" t="str">
        <f t="shared" si="28"/>
        <v/>
      </c>
      <c r="H87" s="128"/>
      <c r="I87" s="128"/>
      <c r="J87" s="128"/>
      <c r="K87" s="286"/>
      <c r="L87" s="287"/>
      <c r="M87" s="287"/>
      <c r="N87" s="286"/>
      <c r="O87" s="291"/>
      <c r="P87" s="285"/>
      <c r="R87" s="283" t="str">
        <f t="shared" si="19"/>
        <v/>
      </c>
      <c r="S87" s="283" t="str">
        <f t="shared" si="20"/>
        <v/>
      </c>
      <c r="T87" s="283" t="str">
        <f t="shared" si="21"/>
        <v/>
      </c>
      <c r="X87" s="283">
        <v>3811</v>
      </c>
      <c r="Y87" s="283" t="s">
        <v>218</v>
      </c>
      <c r="AA87" s="283" t="str">
        <f t="shared" si="22"/>
        <v>38</v>
      </c>
      <c r="AB87" s="283" t="str">
        <f t="shared" si="23"/>
        <v>381</v>
      </c>
      <c r="AD87" s="283" t="s">
        <v>2511</v>
      </c>
      <c r="AE87" s="283" t="s">
        <v>2510</v>
      </c>
      <c r="AF87" s="283" t="str">
        <f t="shared" si="24"/>
        <v>A679071</v>
      </c>
      <c r="AG87" s="283" t="str">
        <f>VLOOKUP(AF87,[2]AKT!$C$4:$E$324,3,FALSE)</f>
        <v>0942</v>
      </c>
    </row>
    <row r="88" spans="1:33">
      <c r="A88" s="290"/>
      <c r="B88" s="288" t="str">
        <f t="shared" si="25"/>
        <v/>
      </c>
      <c r="C88" s="290"/>
      <c r="D88" s="288" t="str">
        <f t="shared" si="26"/>
        <v/>
      </c>
      <c r="E88" s="289"/>
      <c r="F88" s="288" t="str">
        <f t="shared" si="27"/>
        <v/>
      </c>
      <c r="G88" s="288" t="str">
        <f t="shared" si="28"/>
        <v/>
      </c>
      <c r="H88" s="128"/>
      <c r="I88" s="128"/>
      <c r="J88" s="128"/>
      <c r="K88" s="286"/>
      <c r="L88" s="287"/>
      <c r="M88" s="287"/>
      <c r="N88" s="286"/>
      <c r="O88" s="291"/>
      <c r="P88" s="285"/>
      <c r="R88" s="283" t="str">
        <f t="shared" si="19"/>
        <v/>
      </c>
      <c r="S88" s="283" t="str">
        <f t="shared" si="20"/>
        <v/>
      </c>
      <c r="T88" s="283" t="str">
        <f t="shared" si="21"/>
        <v/>
      </c>
      <c r="X88" s="283">
        <v>3812</v>
      </c>
      <c r="Y88" s="283" t="s">
        <v>241</v>
      </c>
      <c r="AA88" s="283" t="str">
        <f t="shared" si="22"/>
        <v>38</v>
      </c>
      <c r="AB88" s="283" t="str">
        <f t="shared" si="23"/>
        <v>381</v>
      </c>
      <c r="AD88" s="283" t="s">
        <v>2509</v>
      </c>
      <c r="AE88" s="283" t="s">
        <v>2508</v>
      </c>
      <c r="AF88" s="283" t="str">
        <f t="shared" si="24"/>
        <v>A679071</v>
      </c>
      <c r="AG88" s="283" t="str">
        <f>VLOOKUP(AF88,[2]AKT!$C$4:$E$324,3,FALSE)</f>
        <v>0942</v>
      </c>
    </row>
    <row r="89" spans="1:33">
      <c r="A89" s="290"/>
      <c r="B89" s="288" t="str">
        <f t="shared" si="25"/>
        <v/>
      </c>
      <c r="C89" s="290"/>
      <c r="D89" s="288" t="str">
        <f t="shared" si="26"/>
        <v/>
      </c>
      <c r="E89" s="289"/>
      <c r="F89" s="288" t="str">
        <f t="shared" si="27"/>
        <v/>
      </c>
      <c r="G89" s="288" t="str">
        <f t="shared" si="28"/>
        <v/>
      </c>
      <c r="H89" s="128"/>
      <c r="I89" s="128"/>
      <c r="J89" s="128"/>
      <c r="K89" s="286"/>
      <c r="L89" s="287"/>
      <c r="M89" s="287"/>
      <c r="N89" s="286"/>
      <c r="O89" s="291"/>
      <c r="P89" s="285"/>
      <c r="R89" s="283" t="str">
        <f t="shared" si="19"/>
        <v/>
      </c>
      <c r="S89" s="283" t="str">
        <f t="shared" si="20"/>
        <v/>
      </c>
      <c r="T89" s="283" t="str">
        <f t="shared" si="21"/>
        <v/>
      </c>
      <c r="X89" s="283">
        <v>3813</v>
      </c>
      <c r="Y89" s="283" t="s">
        <v>2507</v>
      </c>
      <c r="AA89" s="283" t="str">
        <f t="shared" si="22"/>
        <v>38</v>
      </c>
      <c r="AB89" s="283" t="str">
        <f t="shared" si="23"/>
        <v>381</v>
      </c>
      <c r="AD89" s="283" t="s">
        <v>2506</v>
      </c>
      <c r="AE89" s="283" t="s">
        <v>2505</v>
      </c>
      <c r="AF89" s="283" t="str">
        <f t="shared" si="24"/>
        <v>A679071</v>
      </c>
      <c r="AG89" s="283" t="str">
        <f>VLOOKUP(AF89,[2]AKT!$C$4:$E$324,3,FALSE)</f>
        <v>0942</v>
      </c>
    </row>
    <row r="90" spans="1:33">
      <c r="A90" s="290"/>
      <c r="B90" s="288" t="str">
        <f t="shared" si="25"/>
        <v/>
      </c>
      <c r="C90" s="290"/>
      <c r="D90" s="288" t="str">
        <f t="shared" si="26"/>
        <v/>
      </c>
      <c r="E90" s="289"/>
      <c r="F90" s="288" t="str">
        <f t="shared" si="27"/>
        <v/>
      </c>
      <c r="G90" s="288" t="str">
        <f t="shared" si="28"/>
        <v/>
      </c>
      <c r="H90" s="128"/>
      <c r="I90" s="128"/>
      <c r="J90" s="128"/>
      <c r="K90" s="286"/>
      <c r="L90" s="287"/>
      <c r="M90" s="287"/>
      <c r="N90" s="286"/>
      <c r="O90" s="291"/>
      <c r="P90" s="285"/>
      <c r="R90" s="283" t="str">
        <f t="shared" si="19"/>
        <v/>
      </c>
      <c r="S90" s="283" t="str">
        <f t="shared" si="20"/>
        <v/>
      </c>
      <c r="T90" s="283" t="str">
        <f t="shared" si="21"/>
        <v/>
      </c>
      <c r="X90" s="283">
        <v>3821</v>
      </c>
      <c r="Y90" s="283" t="s">
        <v>2504</v>
      </c>
      <c r="AA90" s="283" t="str">
        <f t="shared" si="22"/>
        <v>38</v>
      </c>
      <c r="AB90" s="283" t="str">
        <f t="shared" si="23"/>
        <v>382</v>
      </c>
      <c r="AD90" s="283" t="s">
        <v>2503</v>
      </c>
      <c r="AE90" s="283" t="s">
        <v>2502</v>
      </c>
      <c r="AF90" s="283" t="str">
        <f t="shared" si="24"/>
        <v>A679071</v>
      </c>
      <c r="AG90" s="283" t="str">
        <f>VLOOKUP(AF90,[2]AKT!$C$4:$E$324,3,FALSE)</f>
        <v>0942</v>
      </c>
    </row>
    <row r="91" spans="1:33">
      <c r="A91" s="290"/>
      <c r="B91" s="288" t="str">
        <f t="shared" si="25"/>
        <v/>
      </c>
      <c r="C91" s="290"/>
      <c r="D91" s="288" t="str">
        <f t="shared" si="26"/>
        <v/>
      </c>
      <c r="E91" s="289"/>
      <c r="F91" s="288" t="str">
        <f t="shared" si="27"/>
        <v/>
      </c>
      <c r="G91" s="288" t="str">
        <f t="shared" si="28"/>
        <v/>
      </c>
      <c r="H91" s="128"/>
      <c r="I91" s="128"/>
      <c r="J91" s="128"/>
      <c r="K91" s="286"/>
      <c r="L91" s="287"/>
      <c r="M91" s="287"/>
      <c r="N91" s="286"/>
      <c r="O91" s="291"/>
      <c r="P91" s="285"/>
      <c r="R91" s="283" t="str">
        <f t="shared" si="19"/>
        <v/>
      </c>
      <c r="S91" s="283" t="str">
        <f t="shared" si="20"/>
        <v/>
      </c>
      <c r="T91" s="283" t="str">
        <f t="shared" si="21"/>
        <v/>
      </c>
      <c r="X91" s="283">
        <v>3831</v>
      </c>
      <c r="Y91" s="283" t="s">
        <v>2501</v>
      </c>
      <c r="AA91" s="283" t="str">
        <f t="shared" ref="AA91:AA122" si="29">LEFT(X91,2)</f>
        <v>38</v>
      </c>
      <c r="AB91" s="283" t="str">
        <f t="shared" ref="AB91:AB122" si="30">LEFT(X91,3)</f>
        <v>383</v>
      </c>
      <c r="AD91" s="283" t="s">
        <v>2500</v>
      </c>
      <c r="AE91" s="283" t="s">
        <v>2499</v>
      </c>
      <c r="AF91" s="283" t="str">
        <f t="shared" si="24"/>
        <v>A679071</v>
      </c>
      <c r="AG91" s="283" t="str">
        <f>VLOOKUP(AF91,[2]AKT!$C$4:$E$324,3,FALSE)</f>
        <v>0942</v>
      </c>
    </row>
    <row r="92" spans="1:33">
      <c r="A92" s="290"/>
      <c r="B92" s="288" t="str">
        <f t="shared" si="25"/>
        <v/>
      </c>
      <c r="C92" s="290"/>
      <c r="D92" s="288" t="str">
        <f t="shared" si="26"/>
        <v/>
      </c>
      <c r="E92" s="289"/>
      <c r="F92" s="288" t="str">
        <f t="shared" si="27"/>
        <v/>
      </c>
      <c r="G92" s="288" t="str">
        <f t="shared" si="28"/>
        <v/>
      </c>
      <c r="H92" s="128"/>
      <c r="I92" s="128"/>
      <c r="J92" s="128"/>
      <c r="K92" s="286"/>
      <c r="L92" s="287"/>
      <c r="M92" s="287"/>
      <c r="N92" s="286"/>
      <c r="O92" s="291"/>
      <c r="P92" s="285"/>
      <c r="R92" s="283" t="str">
        <f t="shared" si="19"/>
        <v/>
      </c>
      <c r="S92" s="283" t="str">
        <f t="shared" si="20"/>
        <v/>
      </c>
      <c r="T92" s="283" t="str">
        <f t="shared" si="21"/>
        <v/>
      </c>
      <c r="X92" s="283">
        <v>3832</v>
      </c>
      <c r="Y92" s="283" t="s">
        <v>2498</v>
      </c>
      <c r="AA92" s="283" t="str">
        <f t="shared" si="29"/>
        <v>38</v>
      </c>
      <c r="AB92" s="283" t="str">
        <f t="shared" si="30"/>
        <v>383</v>
      </c>
      <c r="AD92" s="283" t="s">
        <v>2497</v>
      </c>
      <c r="AE92" s="283" t="s">
        <v>2496</v>
      </c>
      <c r="AF92" s="283" t="str">
        <f t="shared" si="24"/>
        <v>A679071</v>
      </c>
      <c r="AG92" s="283" t="str">
        <f>VLOOKUP(AF92,[2]AKT!$C$4:$E$324,3,FALSE)</f>
        <v>0942</v>
      </c>
    </row>
    <row r="93" spans="1:33">
      <c r="A93" s="290"/>
      <c r="B93" s="288" t="str">
        <f t="shared" si="25"/>
        <v/>
      </c>
      <c r="C93" s="290"/>
      <c r="D93" s="288" t="str">
        <f t="shared" si="26"/>
        <v/>
      </c>
      <c r="E93" s="289"/>
      <c r="F93" s="288" t="str">
        <f t="shared" si="27"/>
        <v/>
      </c>
      <c r="G93" s="288" t="str">
        <f t="shared" si="28"/>
        <v/>
      </c>
      <c r="H93" s="128"/>
      <c r="I93" s="128"/>
      <c r="J93" s="128"/>
      <c r="K93" s="286"/>
      <c r="L93" s="287"/>
      <c r="M93" s="287"/>
      <c r="N93" s="286"/>
      <c r="O93" s="291"/>
      <c r="P93" s="285"/>
      <c r="R93" s="283" t="str">
        <f t="shared" si="19"/>
        <v/>
      </c>
      <c r="S93" s="283" t="str">
        <f t="shared" si="20"/>
        <v/>
      </c>
      <c r="T93" s="283" t="str">
        <f t="shared" si="21"/>
        <v/>
      </c>
      <c r="X93" s="283">
        <v>3833</v>
      </c>
      <c r="Y93" s="283" t="s">
        <v>2495</v>
      </c>
      <c r="AA93" s="283" t="str">
        <f t="shared" si="29"/>
        <v>38</v>
      </c>
      <c r="AB93" s="283" t="str">
        <f t="shared" si="30"/>
        <v>383</v>
      </c>
      <c r="AD93" s="283" t="s">
        <v>2494</v>
      </c>
      <c r="AE93" s="283" t="s">
        <v>2493</v>
      </c>
      <c r="AF93" s="283" t="str">
        <f t="shared" si="24"/>
        <v>A679071</v>
      </c>
      <c r="AG93" s="283" t="str">
        <f>VLOOKUP(AF93,[2]AKT!$C$4:$E$324,3,FALSE)</f>
        <v>0942</v>
      </c>
    </row>
    <row r="94" spans="1:33">
      <c r="A94" s="290"/>
      <c r="B94" s="288" t="str">
        <f t="shared" si="25"/>
        <v/>
      </c>
      <c r="C94" s="290"/>
      <c r="D94" s="288" t="str">
        <f t="shared" si="26"/>
        <v/>
      </c>
      <c r="E94" s="289"/>
      <c r="F94" s="288" t="str">
        <f t="shared" si="27"/>
        <v/>
      </c>
      <c r="G94" s="288" t="str">
        <f t="shared" si="28"/>
        <v/>
      </c>
      <c r="H94" s="128"/>
      <c r="I94" s="128"/>
      <c r="J94" s="128"/>
      <c r="K94" s="286"/>
      <c r="L94" s="287"/>
      <c r="M94" s="287"/>
      <c r="N94" s="286"/>
      <c r="O94" s="291"/>
      <c r="P94" s="285"/>
      <c r="R94" s="283" t="str">
        <f t="shared" si="19"/>
        <v/>
      </c>
      <c r="S94" s="283" t="str">
        <f t="shared" si="20"/>
        <v/>
      </c>
      <c r="T94" s="283" t="str">
        <f t="shared" si="21"/>
        <v/>
      </c>
      <c r="X94" s="283">
        <v>3834</v>
      </c>
      <c r="Y94" s="283" t="s">
        <v>2492</v>
      </c>
      <c r="AA94" s="283" t="str">
        <f t="shared" si="29"/>
        <v>38</v>
      </c>
      <c r="AB94" s="283" t="str">
        <f t="shared" si="30"/>
        <v>383</v>
      </c>
      <c r="AD94" s="283" t="s">
        <v>2491</v>
      </c>
      <c r="AE94" s="283" t="s">
        <v>2490</v>
      </c>
      <c r="AF94" s="283" t="str">
        <f t="shared" si="24"/>
        <v>A679071</v>
      </c>
      <c r="AG94" s="283" t="str">
        <f>VLOOKUP(AF94,[2]AKT!$C$4:$E$324,3,FALSE)</f>
        <v>0942</v>
      </c>
    </row>
    <row r="95" spans="1:33">
      <c r="A95" s="290"/>
      <c r="B95" s="288" t="str">
        <f t="shared" si="25"/>
        <v/>
      </c>
      <c r="C95" s="290"/>
      <c r="D95" s="288" t="str">
        <f t="shared" si="26"/>
        <v/>
      </c>
      <c r="E95" s="289"/>
      <c r="F95" s="288" t="str">
        <f t="shared" si="27"/>
        <v/>
      </c>
      <c r="G95" s="288" t="str">
        <f t="shared" si="28"/>
        <v/>
      </c>
      <c r="H95" s="128"/>
      <c r="I95" s="128"/>
      <c r="J95" s="128"/>
      <c r="K95" s="286"/>
      <c r="L95" s="287"/>
      <c r="M95" s="287"/>
      <c r="N95" s="286"/>
      <c r="O95" s="291"/>
      <c r="P95" s="285"/>
      <c r="R95" s="283" t="str">
        <f t="shared" si="19"/>
        <v/>
      </c>
      <c r="S95" s="283" t="str">
        <f t="shared" si="20"/>
        <v/>
      </c>
      <c r="T95" s="283" t="str">
        <f t="shared" si="21"/>
        <v/>
      </c>
      <c r="X95" s="283">
        <v>3835</v>
      </c>
      <c r="Y95" s="283" t="s">
        <v>2489</v>
      </c>
      <c r="AA95" s="283" t="str">
        <f t="shared" si="29"/>
        <v>38</v>
      </c>
      <c r="AB95" s="283" t="str">
        <f t="shared" si="30"/>
        <v>383</v>
      </c>
      <c r="AD95" s="283" t="s">
        <v>2488</v>
      </c>
      <c r="AE95" s="283" t="s">
        <v>2487</v>
      </c>
      <c r="AF95" s="283" t="str">
        <f t="shared" si="24"/>
        <v>A679071</v>
      </c>
      <c r="AG95" s="283" t="str">
        <f>VLOOKUP(AF95,[2]AKT!$C$4:$E$324,3,FALSE)</f>
        <v>0942</v>
      </c>
    </row>
    <row r="96" spans="1:33">
      <c r="A96" s="290"/>
      <c r="B96" s="288" t="str">
        <f t="shared" si="25"/>
        <v/>
      </c>
      <c r="C96" s="290"/>
      <c r="D96" s="288" t="str">
        <f t="shared" si="26"/>
        <v/>
      </c>
      <c r="E96" s="289"/>
      <c r="F96" s="288" t="str">
        <f t="shared" si="27"/>
        <v/>
      </c>
      <c r="G96" s="288" t="str">
        <f t="shared" si="28"/>
        <v/>
      </c>
      <c r="H96" s="128"/>
      <c r="I96" s="128"/>
      <c r="J96" s="128"/>
      <c r="K96" s="286"/>
      <c r="L96" s="287"/>
      <c r="M96" s="287"/>
      <c r="N96" s="286"/>
      <c r="O96" s="291"/>
      <c r="P96" s="285"/>
      <c r="R96" s="283" t="str">
        <f t="shared" si="19"/>
        <v/>
      </c>
      <c r="S96" s="283" t="str">
        <f t="shared" si="20"/>
        <v/>
      </c>
      <c r="T96" s="283" t="str">
        <f t="shared" si="21"/>
        <v/>
      </c>
      <c r="X96" s="294">
        <v>3861</v>
      </c>
      <c r="Y96" s="295" t="s">
        <v>2486</v>
      </c>
      <c r="Z96" s="294"/>
      <c r="AA96" s="294" t="str">
        <f t="shared" si="29"/>
        <v>38</v>
      </c>
      <c r="AB96" s="294" t="str">
        <f t="shared" si="30"/>
        <v>386</v>
      </c>
      <c r="AD96" s="283" t="s">
        <v>2485</v>
      </c>
      <c r="AE96" s="283" t="s">
        <v>2484</v>
      </c>
      <c r="AF96" s="283" t="str">
        <f t="shared" si="24"/>
        <v>A679071</v>
      </c>
      <c r="AG96" s="283" t="str">
        <f>VLOOKUP(AF96,[2]AKT!$C$4:$E$324,3,FALSE)</f>
        <v>0942</v>
      </c>
    </row>
    <row r="97" spans="1:33">
      <c r="A97" s="290"/>
      <c r="B97" s="288" t="str">
        <f t="shared" si="25"/>
        <v/>
      </c>
      <c r="C97" s="290"/>
      <c r="D97" s="288" t="str">
        <f t="shared" si="26"/>
        <v/>
      </c>
      <c r="E97" s="289"/>
      <c r="F97" s="288" t="str">
        <f t="shared" si="27"/>
        <v/>
      </c>
      <c r="G97" s="288" t="str">
        <f t="shared" si="28"/>
        <v/>
      </c>
      <c r="H97" s="128"/>
      <c r="I97" s="128"/>
      <c r="J97" s="128"/>
      <c r="K97" s="286"/>
      <c r="L97" s="287"/>
      <c r="M97" s="287"/>
      <c r="N97" s="286"/>
      <c r="O97" s="291"/>
      <c r="P97" s="285"/>
      <c r="R97" s="283" t="str">
        <f t="shared" si="19"/>
        <v/>
      </c>
      <c r="S97" s="283" t="str">
        <f t="shared" si="20"/>
        <v/>
      </c>
      <c r="T97" s="283" t="str">
        <f t="shared" si="21"/>
        <v/>
      </c>
      <c r="X97" s="293">
        <v>3862</v>
      </c>
      <c r="Y97" s="283" t="s">
        <v>2483</v>
      </c>
      <c r="AA97" s="283" t="str">
        <f t="shared" si="29"/>
        <v>38</v>
      </c>
      <c r="AB97" s="283" t="str">
        <f t="shared" si="30"/>
        <v>386</v>
      </c>
      <c r="AD97" s="283" t="s">
        <v>2482</v>
      </c>
      <c r="AE97" s="283" t="s">
        <v>2481</v>
      </c>
      <c r="AF97" s="283" t="str">
        <f t="shared" si="24"/>
        <v>A679071</v>
      </c>
      <c r="AG97" s="283" t="str">
        <f>VLOOKUP(AF97,[2]AKT!$C$4:$E$324,3,FALSE)</f>
        <v>0942</v>
      </c>
    </row>
    <row r="98" spans="1:33">
      <c r="A98" s="290"/>
      <c r="B98" s="288" t="str">
        <f t="shared" si="25"/>
        <v/>
      </c>
      <c r="C98" s="290"/>
      <c r="D98" s="288" t="str">
        <f t="shared" si="26"/>
        <v/>
      </c>
      <c r="E98" s="289"/>
      <c r="F98" s="288" t="str">
        <f t="shared" si="27"/>
        <v/>
      </c>
      <c r="G98" s="288" t="str">
        <f t="shared" si="28"/>
        <v/>
      </c>
      <c r="H98" s="128"/>
      <c r="I98" s="128"/>
      <c r="J98" s="128"/>
      <c r="K98" s="286"/>
      <c r="L98" s="287"/>
      <c r="M98" s="287"/>
      <c r="N98" s="286"/>
      <c r="O98" s="291"/>
      <c r="P98" s="285"/>
      <c r="R98" s="283" t="str">
        <f t="shared" si="19"/>
        <v/>
      </c>
      <c r="S98" s="283" t="str">
        <f t="shared" si="20"/>
        <v/>
      </c>
      <c r="T98" s="283" t="str">
        <f t="shared" si="21"/>
        <v/>
      </c>
      <c r="X98" s="293">
        <v>3863</v>
      </c>
      <c r="Y98" s="283" t="s">
        <v>2480</v>
      </c>
      <c r="AA98" s="283" t="str">
        <f t="shared" si="29"/>
        <v>38</v>
      </c>
      <c r="AB98" s="283" t="str">
        <f t="shared" si="30"/>
        <v>386</v>
      </c>
      <c r="AD98" s="283" t="s">
        <v>2479</v>
      </c>
      <c r="AE98" s="283" t="s">
        <v>2478</v>
      </c>
      <c r="AF98" s="283" t="str">
        <f t="shared" si="24"/>
        <v>A679071</v>
      </c>
      <c r="AG98" s="283" t="str">
        <f>VLOOKUP(AF98,[2]AKT!$C$4:$E$324,3,FALSE)</f>
        <v>0942</v>
      </c>
    </row>
    <row r="99" spans="1:33">
      <c r="A99" s="290"/>
      <c r="B99" s="288" t="str">
        <f t="shared" si="25"/>
        <v/>
      </c>
      <c r="C99" s="290"/>
      <c r="D99" s="288" t="str">
        <f t="shared" si="26"/>
        <v/>
      </c>
      <c r="E99" s="289"/>
      <c r="F99" s="288" t="str">
        <f t="shared" si="27"/>
        <v/>
      </c>
      <c r="G99" s="288" t="str">
        <f t="shared" si="28"/>
        <v/>
      </c>
      <c r="H99" s="128"/>
      <c r="I99" s="128"/>
      <c r="J99" s="128"/>
      <c r="K99" s="286"/>
      <c r="L99" s="287"/>
      <c r="M99" s="287"/>
      <c r="N99" s="286"/>
      <c r="O99" s="291"/>
      <c r="P99" s="285"/>
      <c r="R99" s="283" t="str">
        <f t="shared" si="19"/>
        <v/>
      </c>
      <c r="S99" s="283" t="str">
        <f t="shared" si="20"/>
        <v/>
      </c>
      <c r="T99" s="283" t="str">
        <f t="shared" si="21"/>
        <v/>
      </c>
      <c r="X99" s="283">
        <v>4111</v>
      </c>
      <c r="Y99" s="283" t="s">
        <v>2477</v>
      </c>
      <c r="AA99" s="283" t="str">
        <f t="shared" si="29"/>
        <v>41</v>
      </c>
      <c r="AB99" s="283" t="str">
        <f t="shared" si="30"/>
        <v>411</v>
      </c>
      <c r="AD99" s="283" t="s">
        <v>2476</v>
      </c>
      <c r="AE99" s="283" t="s">
        <v>2475</v>
      </c>
      <c r="AF99" s="283" t="str">
        <f t="shared" si="24"/>
        <v>A679071</v>
      </c>
      <c r="AG99" s="283" t="str">
        <f>VLOOKUP(AF99,[2]AKT!$C$4:$E$324,3,FALSE)</f>
        <v>0942</v>
      </c>
    </row>
    <row r="100" spans="1:33">
      <c r="A100" s="290"/>
      <c r="B100" s="288" t="str">
        <f t="shared" si="25"/>
        <v/>
      </c>
      <c r="C100" s="290"/>
      <c r="D100" s="288" t="str">
        <f t="shared" si="26"/>
        <v/>
      </c>
      <c r="E100" s="289"/>
      <c r="F100" s="288" t="str">
        <f t="shared" si="27"/>
        <v/>
      </c>
      <c r="G100" s="288" t="str">
        <f t="shared" si="28"/>
        <v/>
      </c>
      <c r="H100" s="128"/>
      <c r="I100" s="128"/>
      <c r="J100" s="128"/>
      <c r="K100" s="286"/>
      <c r="L100" s="287"/>
      <c r="M100" s="287"/>
      <c r="N100" s="286"/>
      <c r="O100" s="291"/>
      <c r="P100" s="285"/>
      <c r="R100" s="283" t="str">
        <f t="shared" si="19"/>
        <v/>
      </c>
      <c r="S100" s="283" t="str">
        <f t="shared" si="20"/>
        <v/>
      </c>
      <c r="T100" s="283" t="str">
        <f t="shared" si="21"/>
        <v/>
      </c>
      <c r="X100" s="283">
        <v>4113</v>
      </c>
      <c r="Y100" s="283" t="s">
        <v>2474</v>
      </c>
      <c r="AA100" s="283" t="str">
        <f t="shared" si="29"/>
        <v>41</v>
      </c>
      <c r="AB100" s="283" t="str">
        <f t="shared" si="30"/>
        <v>411</v>
      </c>
      <c r="AD100" s="283" t="s">
        <v>2473</v>
      </c>
      <c r="AE100" s="283" t="s">
        <v>2472</v>
      </c>
      <c r="AF100" s="283" t="str">
        <f t="shared" si="24"/>
        <v>A679071</v>
      </c>
      <c r="AG100" s="283" t="str">
        <f>VLOOKUP(AF100,[2]AKT!$C$4:$E$324,3,FALSE)</f>
        <v>0942</v>
      </c>
    </row>
    <row r="101" spans="1:33">
      <c r="A101" s="290"/>
      <c r="B101" s="288" t="str">
        <f t="shared" si="25"/>
        <v/>
      </c>
      <c r="C101" s="290"/>
      <c r="D101" s="288" t="str">
        <f t="shared" si="26"/>
        <v/>
      </c>
      <c r="E101" s="289"/>
      <c r="F101" s="288" t="str">
        <f t="shared" si="27"/>
        <v/>
      </c>
      <c r="G101" s="288" t="str">
        <f t="shared" si="28"/>
        <v/>
      </c>
      <c r="H101" s="128"/>
      <c r="I101" s="128"/>
      <c r="J101" s="128"/>
      <c r="K101" s="286"/>
      <c r="L101" s="287"/>
      <c r="M101" s="287"/>
      <c r="N101" s="286"/>
      <c r="O101" s="291"/>
      <c r="P101" s="285"/>
      <c r="R101" s="283" t="str">
        <f t="shared" si="19"/>
        <v/>
      </c>
      <c r="S101" s="283" t="str">
        <f t="shared" si="20"/>
        <v/>
      </c>
      <c r="T101" s="283" t="str">
        <f t="shared" si="21"/>
        <v/>
      </c>
      <c r="X101" s="283">
        <v>4122</v>
      </c>
      <c r="Y101" s="283" t="s">
        <v>2471</v>
      </c>
      <c r="AA101" s="283" t="str">
        <f t="shared" si="29"/>
        <v>41</v>
      </c>
      <c r="AB101" s="283" t="str">
        <f t="shared" si="30"/>
        <v>412</v>
      </c>
      <c r="AD101" s="283" t="s">
        <v>2470</v>
      </c>
      <c r="AE101" s="283" t="s">
        <v>2469</v>
      </c>
      <c r="AF101" s="283" t="str">
        <f t="shared" si="24"/>
        <v>A679071</v>
      </c>
      <c r="AG101" s="283" t="str">
        <f>VLOOKUP(AF101,[2]AKT!$C$4:$E$324,3,FALSE)</f>
        <v>0942</v>
      </c>
    </row>
    <row r="102" spans="1:33">
      <c r="A102" s="290"/>
      <c r="B102" s="288" t="str">
        <f t="shared" si="25"/>
        <v/>
      </c>
      <c r="C102" s="290"/>
      <c r="D102" s="288" t="str">
        <f t="shared" si="26"/>
        <v/>
      </c>
      <c r="E102" s="289"/>
      <c r="F102" s="288" t="str">
        <f t="shared" si="27"/>
        <v/>
      </c>
      <c r="G102" s="288" t="str">
        <f t="shared" si="28"/>
        <v/>
      </c>
      <c r="H102" s="128"/>
      <c r="I102" s="128"/>
      <c r="J102" s="128"/>
      <c r="K102" s="286"/>
      <c r="L102" s="287"/>
      <c r="M102" s="287"/>
      <c r="N102" s="286"/>
      <c r="O102" s="291"/>
      <c r="P102" s="285"/>
      <c r="R102" s="283" t="str">
        <f t="shared" si="19"/>
        <v/>
      </c>
      <c r="S102" s="283" t="str">
        <f t="shared" si="20"/>
        <v/>
      </c>
      <c r="T102" s="283" t="str">
        <f t="shared" si="21"/>
        <v/>
      </c>
      <c r="X102" s="283">
        <v>4123</v>
      </c>
      <c r="Y102" s="283" t="s">
        <v>288</v>
      </c>
      <c r="AA102" s="283" t="str">
        <f t="shared" si="29"/>
        <v>41</v>
      </c>
      <c r="AB102" s="283" t="str">
        <f t="shared" si="30"/>
        <v>412</v>
      </c>
      <c r="AD102" s="283" t="s">
        <v>2468</v>
      </c>
      <c r="AE102" s="283" t="s">
        <v>2467</v>
      </c>
      <c r="AF102" s="283" t="str">
        <f t="shared" si="24"/>
        <v>A679071</v>
      </c>
      <c r="AG102" s="283" t="str">
        <f>VLOOKUP(AF102,[2]AKT!$C$4:$E$324,3,FALSE)</f>
        <v>0942</v>
      </c>
    </row>
    <row r="103" spans="1:33">
      <c r="A103" s="290"/>
      <c r="B103" s="288" t="str">
        <f t="shared" si="25"/>
        <v/>
      </c>
      <c r="C103" s="290"/>
      <c r="D103" s="288" t="str">
        <f t="shared" si="26"/>
        <v/>
      </c>
      <c r="E103" s="289"/>
      <c r="F103" s="288" t="str">
        <f t="shared" si="27"/>
        <v/>
      </c>
      <c r="G103" s="288" t="str">
        <f t="shared" si="28"/>
        <v/>
      </c>
      <c r="H103" s="128"/>
      <c r="I103" s="128"/>
      <c r="J103" s="128"/>
      <c r="K103" s="286"/>
      <c r="L103" s="287"/>
      <c r="M103" s="287"/>
      <c r="N103" s="286"/>
      <c r="O103" s="291"/>
      <c r="P103" s="285"/>
      <c r="R103" s="283" t="str">
        <f t="shared" si="19"/>
        <v/>
      </c>
      <c r="S103" s="283" t="str">
        <f t="shared" si="20"/>
        <v/>
      </c>
      <c r="T103" s="283" t="str">
        <f t="shared" si="21"/>
        <v/>
      </c>
      <c r="X103" s="283">
        <v>4124</v>
      </c>
      <c r="Y103" s="283" t="s">
        <v>2466</v>
      </c>
      <c r="AA103" s="283" t="str">
        <f t="shared" si="29"/>
        <v>41</v>
      </c>
      <c r="AB103" s="283" t="str">
        <f t="shared" si="30"/>
        <v>412</v>
      </c>
      <c r="AD103" s="283" t="s">
        <v>2465</v>
      </c>
      <c r="AE103" s="283" t="s">
        <v>2464</v>
      </c>
      <c r="AF103" s="283" t="str">
        <f t="shared" si="24"/>
        <v>A679071</v>
      </c>
      <c r="AG103" s="283" t="str">
        <f>VLOOKUP(AF103,[2]AKT!$C$4:$E$324,3,FALSE)</f>
        <v>0942</v>
      </c>
    </row>
    <row r="104" spans="1:33">
      <c r="A104" s="290"/>
      <c r="B104" s="288" t="str">
        <f t="shared" si="25"/>
        <v/>
      </c>
      <c r="C104" s="290"/>
      <c r="D104" s="288" t="str">
        <f t="shared" si="26"/>
        <v/>
      </c>
      <c r="E104" s="289"/>
      <c r="F104" s="288" t="str">
        <f t="shared" si="27"/>
        <v/>
      </c>
      <c r="G104" s="288" t="str">
        <f t="shared" si="28"/>
        <v/>
      </c>
      <c r="H104" s="128"/>
      <c r="I104" s="128"/>
      <c r="J104" s="128"/>
      <c r="K104" s="286"/>
      <c r="L104" s="287"/>
      <c r="M104" s="287"/>
      <c r="N104" s="286"/>
      <c r="O104" s="291"/>
      <c r="P104" s="285"/>
      <c r="R104" s="283" t="str">
        <f t="shared" si="19"/>
        <v/>
      </c>
      <c r="S104" s="283" t="str">
        <f t="shared" si="20"/>
        <v/>
      </c>
      <c r="T104" s="283" t="str">
        <f t="shared" si="21"/>
        <v/>
      </c>
      <c r="X104" s="283">
        <v>4126</v>
      </c>
      <c r="Y104" s="283" t="s">
        <v>2463</v>
      </c>
      <c r="AA104" s="283" t="str">
        <f t="shared" si="29"/>
        <v>41</v>
      </c>
      <c r="AB104" s="283" t="str">
        <f t="shared" si="30"/>
        <v>412</v>
      </c>
      <c r="AD104" s="283" t="s">
        <v>2462</v>
      </c>
      <c r="AE104" s="283" t="s">
        <v>2461</v>
      </c>
      <c r="AF104" s="283" t="str">
        <f t="shared" si="24"/>
        <v>A679071</v>
      </c>
      <c r="AG104" s="283" t="str">
        <f>VLOOKUP(AF104,[2]AKT!$C$4:$E$324,3,FALSE)</f>
        <v>0942</v>
      </c>
    </row>
    <row r="105" spans="1:33">
      <c r="A105" s="290"/>
      <c r="B105" s="288" t="str">
        <f t="shared" si="25"/>
        <v/>
      </c>
      <c r="C105" s="290"/>
      <c r="D105" s="288" t="str">
        <f t="shared" si="26"/>
        <v/>
      </c>
      <c r="E105" s="289"/>
      <c r="F105" s="288" t="str">
        <f t="shared" si="27"/>
        <v/>
      </c>
      <c r="G105" s="288" t="str">
        <f t="shared" si="28"/>
        <v/>
      </c>
      <c r="H105" s="128"/>
      <c r="I105" s="128"/>
      <c r="J105" s="128"/>
      <c r="K105" s="286"/>
      <c r="L105" s="287"/>
      <c r="M105" s="287"/>
      <c r="N105" s="286"/>
      <c r="O105" s="291"/>
      <c r="P105" s="285"/>
      <c r="R105" s="283" t="str">
        <f t="shared" si="19"/>
        <v/>
      </c>
      <c r="S105" s="283" t="str">
        <f t="shared" si="20"/>
        <v/>
      </c>
      <c r="T105" s="283" t="str">
        <f t="shared" si="21"/>
        <v/>
      </c>
      <c r="X105" s="283">
        <v>4211</v>
      </c>
      <c r="Y105" s="283" t="s">
        <v>2460</v>
      </c>
      <c r="AA105" s="283" t="str">
        <f t="shared" si="29"/>
        <v>42</v>
      </c>
      <c r="AB105" s="283" t="str">
        <f t="shared" si="30"/>
        <v>421</v>
      </c>
      <c r="AD105" s="283" t="s">
        <v>2459</v>
      </c>
      <c r="AE105" s="283" t="s">
        <v>2458</v>
      </c>
      <c r="AF105" s="283" t="str">
        <f t="shared" si="24"/>
        <v>A679071</v>
      </c>
      <c r="AG105" s="283" t="str">
        <f>VLOOKUP(AF105,[2]AKT!$C$4:$E$324,3,FALSE)</f>
        <v>0942</v>
      </c>
    </row>
    <row r="106" spans="1:33">
      <c r="A106" s="290"/>
      <c r="B106" s="288" t="str">
        <f t="shared" si="25"/>
        <v/>
      </c>
      <c r="C106" s="290"/>
      <c r="D106" s="288" t="str">
        <f t="shared" si="26"/>
        <v/>
      </c>
      <c r="E106" s="289"/>
      <c r="F106" s="288" t="str">
        <f t="shared" si="27"/>
        <v/>
      </c>
      <c r="G106" s="288" t="str">
        <f t="shared" si="28"/>
        <v/>
      </c>
      <c r="H106" s="128"/>
      <c r="I106" s="128"/>
      <c r="J106" s="128"/>
      <c r="K106" s="286"/>
      <c r="L106" s="287"/>
      <c r="M106" s="287"/>
      <c r="N106" s="286"/>
      <c r="O106" s="291"/>
      <c r="P106" s="285"/>
      <c r="R106" s="283" t="str">
        <f t="shared" si="19"/>
        <v/>
      </c>
      <c r="S106" s="283" t="str">
        <f t="shared" si="20"/>
        <v/>
      </c>
      <c r="T106" s="283" t="str">
        <f t="shared" si="21"/>
        <v/>
      </c>
      <c r="X106" s="283">
        <v>4212</v>
      </c>
      <c r="Y106" s="283" t="s">
        <v>293</v>
      </c>
      <c r="AA106" s="283" t="str">
        <f t="shared" si="29"/>
        <v>42</v>
      </c>
      <c r="AB106" s="283" t="str">
        <f t="shared" si="30"/>
        <v>421</v>
      </c>
      <c r="AD106" s="283" t="s">
        <v>2457</v>
      </c>
      <c r="AE106" s="283" t="s">
        <v>2456</v>
      </c>
      <c r="AF106" s="283" t="str">
        <f t="shared" si="24"/>
        <v>A679071</v>
      </c>
      <c r="AG106" s="283" t="str">
        <f>VLOOKUP(AF106,[2]AKT!$C$4:$E$324,3,FALSE)</f>
        <v>0942</v>
      </c>
    </row>
    <row r="107" spans="1:33">
      <c r="A107" s="290"/>
      <c r="B107" s="288" t="str">
        <f t="shared" si="25"/>
        <v/>
      </c>
      <c r="C107" s="290"/>
      <c r="D107" s="288" t="str">
        <f t="shared" si="26"/>
        <v/>
      </c>
      <c r="E107" s="289"/>
      <c r="F107" s="288" t="str">
        <f t="shared" si="27"/>
        <v/>
      </c>
      <c r="G107" s="288" t="str">
        <f t="shared" si="28"/>
        <v/>
      </c>
      <c r="H107" s="128"/>
      <c r="I107" s="128"/>
      <c r="J107" s="128"/>
      <c r="K107" s="286"/>
      <c r="L107" s="287"/>
      <c r="M107" s="287"/>
      <c r="N107" s="286"/>
      <c r="O107" s="291"/>
      <c r="P107" s="285"/>
      <c r="R107" s="283" t="str">
        <f t="shared" si="19"/>
        <v/>
      </c>
      <c r="S107" s="283" t="str">
        <f t="shared" si="20"/>
        <v/>
      </c>
      <c r="T107" s="283" t="str">
        <f t="shared" si="21"/>
        <v/>
      </c>
      <c r="X107" s="283">
        <v>4213</v>
      </c>
      <c r="Y107" s="283" t="s">
        <v>2455</v>
      </c>
      <c r="AA107" s="283" t="str">
        <f t="shared" si="29"/>
        <v>42</v>
      </c>
      <c r="AB107" s="283" t="str">
        <f t="shared" si="30"/>
        <v>421</v>
      </c>
      <c r="AD107" s="283" t="s">
        <v>2454</v>
      </c>
      <c r="AE107" s="283" t="s">
        <v>495</v>
      </c>
      <c r="AF107" s="283" t="str">
        <f t="shared" si="24"/>
        <v>A679071</v>
      </c>
      <c r="AG107" s="283" t="str">
        <f>VLOOKUP(AF107,[2]AKT!$C$4:$E$324,3,FALSE)</f>
        <v>0942</v>
      </c>
    </row>
    <row r="108" spans="1:33">
      <c r="A108" s="290"/>
      <c r="B108" s="288" t="str">
        <f t="shared" si="25"/>
        <v/>
      </c>
      <c r="C108" s="290"/>
      <c r="D108" s="288" t="str">
        <f t="shared" si="26"/>
        <v/>
      </c>
      <c r="E108" s="289"/>
      <c r="F108" s="288" t="str">
        <f t="shared" si="27"/>
        <v/>
      </c>
      <c r="G108" s="288" t="str">
        <f t="shared" si="28"/>
        <v/>
      </c>
      <c r="H108" s="128"/>
      <c r="I108" s="128"/>
      <c r="J108" s="128"/>
      <c r="K108" s="286"/>
      <c r="L108" s="287"/>
      <c r="M108" s="287"/>
      <c r="N108" s="286"/>
      <c r="O108" s="291"/>
      <c r="P108" s="285"/>
      <c r="R108" s="283" t="str">
        <f t="shared" si="19"/>
        <v/>
      </c>
      <c r="S108" s="283" t="str">
        <f t="shared" si="20"/>
        <v/>
      </c>
      <c r="T108" s="283" t="str">
        <f t="shared" si="21"/>
        <v/>
      </c>
      <c r="X108" s="283">
        <v>4214</v>
      </c>
      <c r="Y108" s="283" t="s">
        <v>2453</v>
      </c>
      <c r="AA108" s="283" t="str">
        <f t="shared" si="29"/>
        <v>42</v>
      </c>
      <c r="AB108" s="283" t="str">
        <f t="shared" si="30"/>
        <v>421</v>
      </c>
      <c r="AD108" s="283" t="s">
        <v>2452</v>
      </c>
      <c r="AE108" s="283" t="s">
        <v>2451</v>
      </c>
      <c r="AF108" s="283" t="str">
        <f t="shared" si="24"/>
        <v>A679072</v>
      </c>
      <c r="AG108" s="283" t="str">
        <f>VLOOKUP(AF108,[2]AKT!$C$4:$E$324,3,FALSE)</f>
        <v>0942</v>
      </c>
    </row>
    <row r="109" spans="1:33">
      <c r="A109" s="290"/>
      <c r="B109" s="288" t="str">
        <f t="shared" si="25"/>
        <v/>
      </c>
      <c r="C109" s="290"/>
      <c r="D109" s="288" t="str">
        <f t="shared" si="26"/>
        <v/>
      </c>
      <c r="E109" s="289"/>
      <c r="F109" s="288" t="str">
        <f t="shared" si="27"/>
        <v/>
      </c>
      <c r="G109" s="288" t="str">
        <f t="shared" si="28"/>
        <v/>
      </c>
      <c r="H109" s="128"/>
      <c r="I109" s="128"/>
      <c r="J109" s="128"/>
      <c r="K109" s="286"/>
      <c r="L109" s="287"/>
      <c r="M109" s="287"/>
      <c r="N109" s="286"/>
      <c r="O109" s="291"/>
      <c r="P109" s="285"/>
      <c r="R109" s="283" t="str">
        <f t="shared" si="19"/>
        <v/>
      </c>
      <c r="S109" s="283" t="str">
        <f t="shared" si="20"/>
        <v/>
      </c>
      <c r="T109" s="283" t="str">
        <f t="shared" si="21"/>
        <v/>
      </c>
      <c r="X109" s="283">
        <v>4221</v>
      </c>
      <c r="Y109" s="283" t="s">
        <v>296</v>
      </c>
      <c r="AA109" s="283" t="str">
        <f t="shared" si="29"/>
        <v>42</v>
      </c>
      <c r="AB109" s="283" t="str">
        <f t="shared" si="30"/>
        <v>422</v>
      </c>
      <c r="AD109" s="283" t="s">
        <v>2450</v>
      </c>
      <c r="AE109" s="283" t="s">
        <v>2449</v>
      </c>
      <c r="AF109" s="283" t="str">
        <f t="shared" si="24"/>
        <v>A679072</v>
      </c>
      <c r="AG109" s="283" t="str">
        <f>VLOOKUP(AF109,[2]AKT!$C$4:$E$324,3,FALSE)</f>
        <v>0942</v>
      </c>
    </row>
    <row r="110" spans="1:33">
      <c r="A110" s="290"/>
      <c r="B110" s="288" t="str">
        <f t="shared" si="25"/>
        <v/>
      </c>
      <c r="C110" s="290"/>
      <c r="D110" s="288" t="str">
        <f t="shared" si="26"/>
        <v/>
      </c>
      <c r="E110" s="289"/>
      <c r="F110" s="288" t="str">
        <f t="shared" si="27"/>
        <v/>
      </c>
      <c r="G110" s="288" t="str">
        <f t="shared" si="28"/>
        <v/>
      </c>
      <c r="H110" s="128"/>
      <c r="I110" s="128"/>
      <c r="J110" s="128"/>
      <c r="K110" s="286"/>
      <c r="L110" s="287"/>
      <c r="M110" s="287"/>
      <c r="N110" s="286"/>
      <c r="O110" s="291"/>
      <c r="P110" s="285"/>
      <c r="R110" s="283" t="str">
        <f t="shared" si="19"/>
        <v/>
      </c>
      <c r="S110" s="283" t="str">
        <f t="shared" si="20"/>
        <v/>
      </c>
      <c r="T110" s="283" t="str">
        <f t="shared" si="21"/>
        <v/>
      </c>
      <c r="X110" s="283">
        <v>4222</v>
      </c>
      <c r="Y110" s="283" t="s">
        <v>339</v>
      </c>
      <c r="AA110" s="283" t="str">
        <f t="shared" si="29"/>
        <v>42</v>
      </c>
      <c r="AB110" s="283" t="str">
        <f t="shared" si="30"/>
        <v>422</v>
      </c>
      <c r="AD110" s="283" t="s">
        <v>2448</v>
      </c>
      <c r="AE110" s="283" t="s">
        <v>2447</v>
      </c>
      <c r="AF110" s="283" t="str">
        <f t="shared" si="24"/>
        <v>A679072</v>
      </c>
      <c r="AG110" s="283" t="str">
        <f>VLOOKUP(AF110,[2]AKT!$C$4:$E$324,3,FALSE)</f>
        <v>0942</v>
      </c>
    </row>
    <row r="111" spans="1:33">
      <c r="A111" s="290"/>
      <c r="B111" s="288" t="str">
        <f t="shared" si="25"/>
        <v/>
      </c>
      <c r="C111" s="290"/>
      <c r="D111" s="288" t="str">
        <f t="shared" si="26"/>
        <v/>
      </c>
      <c r="E111" s="289"/>
      <c r="F111" s="288" t="str">
        <f t="shared" si="27"/>
        <v/>
      </c>
      <c r="G111" s="288" t="str">
        <f t="shared" si="28"/>
        <v/>
      </c>
      <c r="H111" s="128"/>
      <c r="I111" s="128"/>
      <c r="J111" s="128"/>
      <c r="K111" s="286"/>
      <c r="L111" s="287"/>
      <c r="M111" s="287"/>
      <c r="N111" s="286"/>
      <c r="O111" s="291"/>
      <c r="P111" s="285"/>
      <c r="R111" s="283" t="str">
        <f t="shared" si="19"/>
        <v/>
      </c>
      <c r="S111" s="283" t="str">
        <f t="shared" si="20"/>
        <v/>
      </c>
      <c r="T111" s="283" t="str">
        <f t="shared" si="21"/>
        <v/>
      </c>
      <c r="X111" s="283">
        <v>4223</v>
      </c>
      <c r="Y111" s="283" t="s">
        <v>300</v>
      </c>
      <c r="AA111" s="283" t="str">
        <f t="shared" si="29"/>
        <v>42</v>
      </c>
      <c r="AB111" s="283" t="str">
        <f t="shared" si="30"/>
        <v>422</v>
      </c>
      <c r="AD111" s="283" t="s">
        <v>2446</v>
      </c>
      <c r="AE111" s="283" t="s">
        <v>2445</v>
      </c>
      <c r="AF111" s="283" t="str">
        <f t="shared" si="24"/>
        <v>A679072</v>
      </c>
      <c r="AG111" s="283" t="str">
        <f>VLOOKUP(AF111,[2]AKT!$C$4:$E$324,3,FALSE)</f>
        <v>0942</v>
      </c>
    </row>
    <row r="112" spans="1:33">
      <c r="A112" s="290"/>
      <c r="B112" s="288" t="str">
        <f t="shared" si="25"/>
        <v/>
      </c>
      <c r="C112" s="290"/>
      <c r="D112" s="288" t="str">
        <f t="shared" si="26"/>
        <v/>
      </c>
      <c r="E112" s="289"/>
      <c r="F112" s="288" t="str">
        <f t="shared" si="27"/>
        <v/>
      </c>
      <c r="G112" s="288" t="str">
        <f t="shared" si="28"/>
        <v/>
      </c>
      <c r="H112" s="128"/>
      <c r="I112" s="128"/>
      <c r="J112" s="128"/>
      <c r="K112" s="286"/>
      <c r="L112" s="287"/>
      <c r="M112" s="287"/>
      <c r="N112" s="286"/>
      <c r="O112" s="291"/>
      <c r="P112" s="285"/>
      <c r="R112" s="283" t="str">
        <f t="shared" si="19"/>
        <v/>
      </c>
      <c r="S112" s="283" t="str">
        <f t="shared" si="20"/>
        <v/>
      </c>
      <c r="T112" s="283" t="str">
        <f t="shared" si="21"/>
        <v/>
      </c>
      <c r="X112" s="283">
        <v>4224</v>
      </c>
      <c r="Y112" s="283" t="s">
        <v>328</v>
      </c>
      <c r="AA112" s="283" t="str">
        <f t="shared" si="29"/>
        <v>42</v>
      </c>
      <c r="AB112" s="283" t="str">
        <f t="shared" si="30"/>
        <v>422</v>
      </c>
      <c r="AD112" s="283" t="s">
        <v>2444</v>
      </c>
      <c r="AE112" s="283" t="s">
        <v>2443</v>
      </c>
      <c r="AF112" s="283" t="str">
        <f t="shared" si="24"/>
        <v>A679072</v>
      </c>
      <c r="AG112" s="283" t="str">
        <f>VLOOKUP(AF112,[2]AKT!$C$4:$E$324,3,FALSE)</f>
        <v>0942</v>
      </c>
    </row>
    <row r="113" spans="1:33">
      <c r="A113" s="290"/>
      <c r="B113" s="288" t="str">
        <f t="shared" si="25"/>
        <v/>
      </c>
      <c r="C113" s="290"/>
      <c r="D113" s="288" t="str">
        <f t="shared" si="26"/>
        <v/>
      </c>
      <c r="E113" s="289"/>
      <c r="F113" s="288" t="str">
        <f t="shared" si="27"/>
        <v/>
      </c>
      <c r="G113" s="288" t="str">
        <f t="shared" si="28"/>
        <v/>
      </c>
      <c r="H113" s="128"/>
      <c r="I113" s="128"/>
      <c r="J113" s="128"/>
      <c r="K113" s="286"/>
      <c r="L113" s="287"/>
      <c r="M113" s="287"/>
      <c r="N113" s="286"/>
      <c r="O113" s="291"/>
      <c r="P113" s="285"/>
      <c r="R113" s="283" t="str">
        <f t="shared" si="19"/>
        <v/>
      </c>
      <c r="S113" s="283" t="str">
        <f t="shared" si="20"/>
        <v/>
      </c>
      <c r="T113" s="283" t="str">
        <f t="shared" si="21"/>
        <v/>
      </c>
      <c r="X113" s="283">
        <v>4225</v>
      </c>
      <c r="Y113" s="283" t="s">
        <v>304</v>
      </c>
      <c r="AA113" s="283" t="str">
        <f t="shared" si="29"/>
        <v>42</v>
      </c>
      <c r="AB113" s="283" t="str">
        <f t="shared" si="30"/>
        <v>422</v>
      </c>
      <c r="AD113" s="283" t="s">
        <v>2442</v>
      </c>
      <c r="AE113" s="283" t="s">
        <v>2441</v>
      </c>
      <c r="AF113" s="283" t="str">
        <f t="shared" si="24"/>
        <v>A679072</v>
      </c>
      <c r="AG113" s="283" t="str">
        <f>VLOOKUP(AF113,[2]AKT!$C$4:$E$324,3,FALSE)</f>
        <v>0942</v>
      </c>
    </row>
    <row r="114" spans="1:33">
      <c r="A114" s="290"/>
      <c r="B114" s="288" t="str">
        <f t="shared" si="25"/>
        <v/>
      </c>
      <c r="C114" s="290"/>
      <c r="D114" s="288" t="str">
        <f t="shared" si="26"/>
        <v/>
      </c>
      <c r="E114" s="289"/>
      <c r="F114" s="288" t="str">
        <f t="shared" si="27"/>
        <v/>
      </c>
      <c r="G114" s="288" t="str">
        <f t="shared" si="28"/>
        <v/>
      </c>
      <c r="H114" s="128"/>
      <c r="I114" s="128"/>
      <c r="J114" s="128"/>
      <c r="K114" s="286"/>
      <c r="L114" s="287"/>
      <c r="M114" s="287"/>
      <c r="N114" s="286"/>
      <c r="O114" s="291"/>
      <c r="P114" s="285"/>
      <c r="R114" s="283" t="str">
        <f t="shared" si="19"/>
        <v/>
      </c>
      <c r="S114" s="283" t="str">
        <f t="shared" si="20"/>
        <v/>
      </c>
      <c r="T114" s="283" t="str">
        <f t="shared" si="21"/>
        <v/>
      </c>
      <c r="X114" s="283">
        <v>4226</v>
      </c>
      <c r="Y114" s="283" t="s">
        <v>306</v>
      </c>
      <c r="AA114" s="283" t="str">
        <f t="shared" si="29"/>
        <v>42</v>
      </c>
      <c r="AB114" s="283" t="str">
        <f t="shared" si="30"/>
        <v>422</v>
      </c>
      <c r="AD114" s="283" t="s">
        <v>2440</v>
      </c>
      <c r="AE114" s="283" t="s">
        <v>2439</v>
      </c>
      <c r="AF114" s="283" t="str">
        <f t="shared" si="24"/>
        <v>A679072</v>
      </c>
      <c r="AG114" s="283" t="str">
        <f>VLOOKUP(AF114,[2]AKT!$C$4:$E$324,3,FALSE)</f>
        <v>0942</v>
      </c>
    </row>
    <row r="115" spans="1:33">
      <c r="A115" s="290"/>
      <c r="B115" s="288" t="str">
        <f t="shared" si="25"/>
        <v/>
      </c>
      <c r="C115" s="290"/>
      <c r="D115" s="288" t="str">
        <f t="shared" si="26"/>
        <v/>
      </c>
      <c r="E115" s="289"/>
      <c r="F115" s="288" t="str">
        <f t="shared" si="27"/>
        <v/>
      </c>
      <c r="G115" s="288" t="str">
        <f t="shared" si="28"/>
        <v/>
      </c>
      <c r="H115" s="128"/>
      <c r="I115" s="128"/>
      <c r="J115" s="128"/>
      <c r="K115" s="286"/>
      <c r="L115" s="287"/>
      <c r="M115" s="287"/>
      <c r="N115" s="286"/>
      <c r="O115" s="291"/>
      <c r="P115" s="285"/>
      <c r="R115" s="283" t="str">
        <f t="shared" si="19"/>
        <v/>
      </c>
      <c r="S115" s="283" t="str">
        <f t="shared" si="20"/>
        <v/>
      </c>
      <c r="T115" s="283" t="str">
        <f t="shared" si="21"/>
        <v/>
      </c>
      <c r="X115" s="283">
        <v>4227</v>
      </c>
      <c r="Y115" s="283" t="s">
        <v>308</v>
      </c>
      <c r="AA115" s="283" t="str">
        <f t="shared" si="29"/>
        <v>42</v>
      </c>
      <c r="AB115" s="283" t="str">
        <f t="shared" si="30"/>
        <v>422</v>
      </c>
      <c r="AD115" s="283" t="s">
        <v>2438</v>
      </c>
      <c r="AE115" s="283" t="s">
        <v>2437</v>
      </c>
      <c r="AF115" s="283" t="str">
        <f t="shared" si="24"/>
        <v>A679072</v>
      </c>
      <c r="AG115" s="283" t="str">
        <f>VLOOKUP(AF115,[2]AKT!$C$4:$E$324,3,FALSE)</f>
        <v>0942</v>
      </c>
    </row>
    <row r="116" spans="1:33">
      <c r="A116" s="290"/>
      <c r="B116" s="288" t="str">
        <f t="shared" si="25"/>
        <v/>
      </c>
      <c r="C116" s="290"/>
      <c r="D116" s="288" t="str">
        <f t="shared" si="26"/>
        <v/>
      </c>
      <c r="E116" s="289"/>
      <c r="F116" s="288" t="str">
        <f t="shared" si="27"/>
        <v/>
      </c>
      <c r="G116" s="288" t="str">
        <f t="shared" si="28"/>
        <v/>
      </c>
      <c r="H116" s="128"/>
      <c r="I116" s="128"/>
      <c r="J116" s="128"/>
      <c r="K116" s="286"/>
      <c r="L116" s="287"/>
      <c r="M116" s="287"/>
      <c r="N116" s="286"/>
      <c r="O116" s="291"/>
      <c r="P116" s="285"/>
      <c r="R116" s="283" t="str">
        <f t="shared" si="19"/>
        <v/>
      </c>
      <c r="S116" s="283" t="str">
        <f t="shared" si="20"/>
        <v/>
      </c>
      <c r="T116" s="283" t="str">
        <f t="shared" si="21"/>
        <v/>
      </c>
      <c r="X116" s="283">
        <v>4231</v>
      </c>
      <c r="Y116" s="283" t="s">
        <v>332</v>
      </c>
      <c r="AA116" s="283" t="str">
        <f t="shared" si="29"/>
        <v>42</v>
      </c>
      <c r="AB116" s="283" t="str">
        <f t="shared" si="30"/>
        <v>423</v>
      </c>
      <c r="AD116" s="283" t="s">
        <v>2436</v>
      </c>
      <c r="AE116" s="283" t="s">
        <v>2435</v>
      </c>
      <c r="AF116" s="283" t="str">
        <f t="shared" si="24"/>
        <v>A679072</v>
      </c>
      <c r="AG116" s="283" t="str">
        <f>VLOOKUP(AF116,[2]AKT!$C$4:$E$324,3,FALSE)</f>
        <v>0942</v>
      </c>
    </row>
    <row r="117" spans="1:33">
      <c r="A117" s="290"/>
      <c r="B117" s="288" t="str">
        <f t="shared" si="25"/>
        <v/>
      </c>
      <c r="C117" s="290"/>
      <c r="D117" s="288" t="str">
        <f t="shared" si="26"/>
        <v/>
      </c>
      <c r="E117" s="289"/>
      <c r="F117" s="288" t="str">
        <f t="shared" si="27"/>
        <v/>
      </c>
      <c r="G117" s="288" t="str">
        <f t="shared" si="28"/>
        <v/>
      </c>
      <c r="H117" s="128"/>
      <c r="I117" s="128"/>
      <c r="J117" s="128"/>
      <c r="K117" s="286"/>
      <c r="L117" s="287"/>
      <c r="M117" s="287"/>
      <c r="N117" s="286"/>
      <c r="O117" s="291"/>
      <c r="P117" s="285"/>
      <c r="R117" s="283" t="str">
        <f t="shared" si="19"/>
        <v/>
      </c>
      <c r="S117" s="283" t="str">
        <f t="shared" si="20"/>
        <v/>
      </c>
      <c r="T117" s="283" t="str">
        <f t="shared" si="21"/>
        <v/>
      </c>
      <c r="X117" s="283">
        <v>4233</v>
      </c>
      <c r="Y117" s="283" t="s">
        <v>2434</v>
      </c>
      <c r="AA117" s="283" t="str">
        <f t="shared" si="29"/>
        <v>42</v>
      </c>
      <c r="AB117" s="283" t="str">
        <f t="shared" si="30"/>
        <v>423</v>
      </c>
      <c r="AD117" s="283" t="s">
        <v>2433</v>
      </c>
      <c r="AE117" s="283" t="s">
        <v>2432</v>
      </c>
      <c r="AF117" s="283" t="str">
        <f t="shared" si="24"/>
        <v>A679072</v>
      </c>
      <c r="AG117" s="283" t="str">
        <f>VLOOKUP(AF117,[2]AKT!$C$4:$E$324,3,FALSE)</f>
        <v>0942</v>
      </c>
    </row>
    <row r="118" spans="1:33">
      <c r="A118" s="290"/>
      <c r="B118" s="288" t="str">
        <f t="shared" si="25"/>
        <v/>
      </c>
      <c r="C118" s="290"/>
      <c r="D118" s="288" t="str">
        <f t="shared" si="26"/>
        <v/>
      </c>
      <c r="E118" s="289"/>
      <c r="F118" s="288" t="str">
        <f t="shared" si="27"/>
        <v/>
      </c>
      <c r="G118" s="288" t="str">
        <f t="shared" si="28"/>
        <v/>
      </c>
      <c r="H118" s="128"/>
      <c r="I118" s="128"/>
      <c r="J118" s="128"/>
      <c r="K118" s="286"/>
      <c r="L118" s="287"/>
      <c r="M118" s="287"/>
      <c r="N118" s="286"/>
      <c r="O118" s="291"/>
      <c r="P118" s="285"/>
      <c r="R118" s="283" t="str">
        <f t="shared" si="19"/>
        <v/>
      </c>
      <c r="S118" s="283" t="str">
        <f t="shared" si="20"/>
        <v/>
      </c>
      <c r="T118" s="283" t="str">
        <f t="shared" si="21"/>
        <v/>
      </c>
      <c r="X118" s="283">
        <v>4241</v>
      </c>
      <c r="Y118" s="283" t="s">
        <v>312</v>
      </c>
      <c r="AA118" s="283" t="str">
        <f t="shared" si="29"/>
        <v>42</v>
      </c>
      <c r="AB118" s="283" t="str">
        <f t="shared" si="30"/>
        <v>424</v>
      </c>
      <c r="AD118" s="283" t="s">
        <v>2431</v>
      </c>
      <c r="AE118" s="283" t="s">
        <v>2430</v>
      </c>
      <c r="AF118" s="283" t="str">
        <f t="shared" si="24"/>
        <v>A679072</v>
      </c>
      <c r="AG118" s="283" t="str">
        <f>VLOOKUP(AF118,[2]AKT!$C$4:$E$324,3,FALSE)</f>
        <v>0942</v>
      </c>
    </row>
    <row r="119" spans="1:33">
      <c r="A119" s="290"/>
      <c r="B119" s="288" t="str">
        <f t="shared" si="25"/>
        <v/>
      </c>
      <c r="C119" s="290"/>
      <c r="D119" s="288" t="str">
        <f t="shared" si="26"/>
        <v/>
      </c>
      <c r="E119" s="289"/>
      <c r="F119" s="288" t="str">
        <f t="shared" si="27"/>
        <v/>
      </c>
      <c r="G119" s="288" t="str">
        <f t="shared" si="28"/>
        <v/>
      </c>
      <c r="H119" s="128"/>
      <c r="I119" s="128"/>
      <c r="J119" s="128"/>
      <c r="K119" s="286"/>
      <c r="L119" s="287"/>
      <c r="M119" s="287"/>
      <c r="N119" s="286"/>
      <c r="O119" s="291"/>
      <c r="P119" s="285"/>
      <c r="R119" s="283" t="str">
        <f t="shared" si="19"/>
        <v/>
      </c>
      <c r="S119" s="283" t="str">
        <f t="shared" si="20"/>
        <v/>
      </c>
      <c r="T119" s="283" t="str">
        <f t="shared" si="21"/>
        <v/>
      </c>
      <c r="X119" s="283">
        <v>4242</v>
      </c>
      <c r="Y119" s="283" t="s">
        <v>2429</v>
      </c>
      <c r="AA119" s="283" t="str">
        <f t="shared" si="29"/>
        <v>42</v>
      </c>
      <c r="AB119" s="283" t="str">
        <f t="shared" si="30"/>
        <v>424</v>
      </c>
      <c r="AD119" s="283" t="s">
        <v>2428</v>
      </c>
      <c r="AE119" s="283" t="s">
        <v>2427</v>
      </c>
      <c r="AF119" s="283" t="str">
        <f t="shared" si="24"/>
        <v>A679072</v>
      </c>
      <c r="AG119" s="283" t="str">
        <f>VLOOKUP(AF119,[2]AKT!$C$4:$E$324,3,FALSE)</f>
        <v>0942</v>
      </c>
    </row>
    <row r="120" spans="1:33">
      <c r="A120" s="290"/>
      <c r="B120" s="288" t="str">
        <f t="shared" si="25"/>
        <v/>
      </c>
      <c r="C120" s="290"/>
      <c r="D120" s="288" t="str">
        <f t="shared" si="26"/>
        <v/>
      </c>
      <c r="E120" s="289"/>
      <c r="F120" s="288" t="str">
        <f t="shared" si="27"/>
        <v/>
      </c>
      <c r="G120" s="288" t="str">
        <f t="shared" si="28"/>
        <v/>
      </c>
      <c r="H120" s="128"/>
      <c r="I120" s="128"/>
      <c r="J120" s="128"/>
      <c r="K120" s="286"/>
      <c r="L120" s="287"/>
      <c r="M120" s="287"/>
      <c r="N120" s="286"/>
      <c r="O120" s="291"/>
      <c r="P120" s="285"/>
      <c r="R120" s="283" t="str">
        <f t="shared" si="19"/>
        <v/>
      </c>
      <c r="S120" s="283" t="str">
        <f t="shared" si="20"/>
        <v/>
      </c>
      <c r="T120" s="283" t="str">
        <f t="shared" si="21"/>
        <v/>
      </c>
      <c r="X120" s="283">
        <v>4244</v>
      </c>
      <c r="Y120" s="283" t="s">
        <v>337</v>
      </c>
      <c r="AA120" s="283" t="str">
        <f t="shared" si="29"/>
        <v>42</v>
      </c>
      <c r="AB120" s="283" t="str">
        <f t="shared" si="30"/>
        <v>424</v>
      </c>
      <c r="AD120" s="283" t="s">
        <v>2426</v>
      </c>
      <c r="AE120" s="283" t="s">
        <v>2425</v>
      </c>
      <c r="AF120" s="283" t="str">
        <f t="shared" si="24"/>
        <v>A679072</v>
      </c>
      <c r="AG120" s="283" t="str">
        <f>VLOOKUP(AF120,[2]AKT!$C$4:$E$324,3,FALSE)</f>
        <v>0942</v>
      </c>
    </row>
    <row r="121" spans="1:33">
      <c r="A121" s="290"/>
      <c r="B121" s="288" t="str">
        <f t="shared" si="25"/>
        <v/>
      </c>
      <c r="C121" s="290"/>
      <c r="D121" s="288" t="str">
        <f t="shared" si="26"/>
        <v/>
      </c>
      <c r="E121" s="289"/>
      <c r="F121" s="288" t="str">
        <f t="shared" si="27"/>
        <v/>
      </c>
      <c r="G121" s="288" t="str">
        <f t="shared" si="28"/>
        <v/>
      </c>
      <c r="H121" s="128"/>
      <c r="I121" s="128"/>
      <c r="J121" s="128"/>
      <c r="K121" s="286"/>
      <c r="L121" s="287"/>
      <c r="M121" s="287"/>
      <c r="N121" s="286"/>
      <c r="O121" s="291"/>
      <c r="P121" s="285"/>
      <c r="R121" s="283" t="str">
        <f t="shared" si="19"/>
        <v/>
      </c>
      <c r="S121" s="283" t="str">
        <f t="shared" si="20"/>
        <v/>
      </c>
      <c r="T121" s="283" t="str">
        <f t="shared" si="21"/>
        <v/>
      </c>
      <c r="X121" s="283">
        <v>4251</v>
      </c>
      <c r="Y121" s="283" t="s">
        <v>2424</v>
      </c>
      <c r="AA121" s="283" t="str">
        <f t="shared" si="29"/>
        <v>42</v>
      </c>
      <c r="AB121" s="283" t="str">
        <f t="shared" si="30"/>
        <v>425</v>
      </c>
      <c r="AD121" s="283" t="s">
        <v>2423</v>
      </c>
      <c r="AE121" s="283" t="s">
        <v>2422</v>
      </c>
      <c r="AF121" s="283" t="str">
        <f t="shared" si="24"/>
        <v>A679072</v>
      </c>
      <c r="AG121" s="283" t="str">
        <f>VLOOKUP(AF121,[2]AKT!$C$4:$E$324,3,FALSE)</f>
        <v>0942</v>
      </c>
    </row>
    <row r="122" spans="1:33">
      <c r="A122" s="290"/>
      <c r="B122" s="288" t="str">
        <f t="shared" si="25"/>
        <v/>
      </c>
      <c r="C122" s="290"/>
      <c r="D122" s="288" t="str">
        <f t="shared" si="26"/>
        <v/>
      </c>
      <c r="E122" s="289"/>
      <c r="F122" s="288" t="str">
        <f t="shared" si="27"/>
        <v/>
      </c>
      <c r="G122" s="288" t="str">
        <f t="shared" si="28"/>
        <v/>
      </c>
      <c r="H122" s="128"/>
      <c r="I122" s="128"/>
      <c r="J122" s="128"/>
      <c r="K122" s="286"/>
      <c r="L122" s="287"/>
      <c r="M122" s="287"/>
      <c r="N122" s="286"/>
      <c r="O122" s="291"/>
      <c r="P122" s="285"/>
      <c r="R122" s="283" t="str">
        <f t="shared" si="19"/>
        <v/>
      </c>
      <c r="S122" s="283" t="str">
        <f t="shared" si="20"/>
        <v/>
      </c>
      <c r="T122" s="283" t="str">
        <f t="shared" si="21"/>
        <v/>
      </c>
      <c r="X122" s="283">
        <v>4252</v>
      </c>
      <c r="Y122" s="283" t="s">
        <v>2421</v>
      </c>
      <c r="AA122" s="283" t="str">
        <f t="shared" si="29"/>
        <v>42</v>
      </c>
      <c r="AB122" s="283" t="str">
        <f t="shared" si="30"/>
        <v>425</v>
      </c>
      <c r="AD122" s="283" t="s">
        <v>2420</v>
      </c>
      <c r="AE122" s="283" t="s">
        <v>2419</v>
      </c>
      <c r="AF122" s="283" t="str">
        <f t="shared" si="24"/>
        <v>A679072</v>
      </c>
      <c r="AG122" s="283" t="str">
        <f>VLOOKUP(AF122,[2]AKT!$C$4:$E$324,3,FALSE)</f>
        <v>0942</v>
      </c>
    </row>
    <row r="123" spans="1:33">
      <c r="A123" s="290"/>
      <c r="B123" s="288" t="str">
        <f t="shared" si="25"/>
        <v/>
      </c>
      <c r="C123" s="290"/>
      <c r="D123" s="288" t="str">
        <f t="shared" si="26"/>
        <v/>
      </c>
      <c r="E123" s="289"/>
      <c r="F123" s="288" t="str">
        <f t="shared" si="27"/>
        <v/>
      </c>
      <c r="G123" s="288" t="str">
        <f t="shared" si="28"/>
        <v/>
      </c>
      <c r="H123" s="128"/>
      <c r="I123" s="128"/>
      <c r="J123" s="128"/>
      <c r="K123" s="286"/>
      <c r="L123" s="287"/>
      <c r="M123" s="287"/>
      <c r="N123" s="286"/>
      <c r="O123" s="291"/>
      <c r="P123" s="285"/>
      <c r="R123" s="283" t="str">
        <f t="shared" ref="R123:R186" si="31">LEFT(C123,3)</f>
        <v/>
      </c>
      <c r="S123" s="283" t="str">
        <f t="shared" ref="S123:S186" si="32">LEFT(C123,2)</f>
        <v/>
      </c>
      <c r="T123" s="283" t="str">
        <f t="shared" ref="T123:T186" si="33">MID(G123,2,2)</f>
        <v/>
      </c>
      <c r="X123" s="283">
        <v>4262</v>
      </c>
      <c r="Y123" s="283" t="s">
        <v>2418</v>
      </c>
      <c r="AA123" s="283" t="str">
        <f t="shared" ref="AA123:AA144" si="34">LEFT(X123,2)</f>
        <v>42</v>
      </c>
      <c r="AB123" s="283" t="str">
        <f t="shared" ref="AB123:AB144" si="35">LEFT(X123,3)</f>
        <v>426</v>
      </c>
      <c r="AD123" s="283" t="s">
        <v>2417</v>
      </c>
      <c r="AE123" s="283" t="s">
        <v>2416</v>
      </c>
      <c r="AF123" s="283" t="str">
        <f t="shared" ref="AF123:AF186" si="36">LEFT(AD123,7)</f>
        <v>A679072</v>
      </c>
      <c r="AG123" s="283" t="str">
        <f>VLOOKUP(AF123,[2]AKT!$C$4:$E$324,3,FALSE)</f>
        <v>0942</v>
      </c>
    </row>
    <row r="124" spans="1:33">
      <c r="A124" s="290"/>
      <c r="B124" s="288" t="str">
        <f t="shared" si="25"/>
        <v/>
      </c>
      <c r="C124" s="290"/>
      <c r="D124" s="288" t="str">
        <f t="shared" si="26"/>
        <v/>
      </c>
      <c r="E124" s="289"/>
      <c r="F124" s="288" t="str">
        <f t="shared" si="27"/>
        <v/>
      </c>
      <c r="G124" s="288" t="str">
        <f t="shared" si="28"/>
        <v/>
      </c>
      <c r="H124" s="128"/>
      <c r="I124" s="128"/>
      <c r="J124" s="128"/>
      <c r="K124" s="286"/>
      <c r="L124" s="287"/>
      <c r="M124" s="287"/>
      <c r="N124" s="286"/>
      <c r="O124" s="291"/>
      <c r="P124" s="285"/>
      <c r="R124" s="283" t="str">
        <f t="shared" si="31"/>
        <v/>
      </c>
      <c r="S124" s="283" t="str">
        <f t="shared" si="32"/>
        <v/>
      </c>
      <c r="T124" s="283" t="str">
        <f t="shared" si="33"/>
        <v/>
      </c>
      <c r="X124" s="283">
        <v>4263</v>
      </c>
      <c r="Y124" s="283" t="s">
        <v>2415</v>
      </c>
      <c r="AA124" s="283" t="str">
        <f t="shared" si="34"/>
        <v>42</v>
      </c>
      <c r="AB124" s="283" t="str">
        <f t="shared" si="35"/>
        <v>426</v>
      </c>
      <c r="AD124" s="283" t="s">
        <v>2414</v>
      </c>
      <c r="AE124" s="283" t="s">
        <v>2413</v>
      </c>
      <c r="AF124" s="283" t="str">
        <f t="shared" si="36"/>
        <v>A679072</v>
      </c>
      <c r="AG124" s="283" t="str">
        <f>VLOOKUP(AF124,[2]AKT!$C$4:$E$324,3,FALSE)</f>
        <v>0942</v>
      </c>
    </row>
    <row r="125" spans="1:33">
      <c r="A125" s="290"/>
      <c r="B125" s="288" t="str">
        <f t="shared" si="25"/>
        <v/>
      </c>
      <c r="C125" s="290"/>
      <c r="D125" s="288" t="str">
        <f t="shared" si="26"/>
        <v/>
      </c>
      <c r="E125" s="289"/>
      <c r="F125" s="288" t="str">
        <f t="shared" si="27"/>
        <v/>
      </c>
      <c r="G125" s="288" t="str">
        <f t="shared" si="28"/>
        <v/>
      </c>
      <c r="H125" s="128"/>
      <c r="I125" s="128"/>
      <c r="J125" s="128"/>
      <c r="K125" s="286"/>
      <c r="L125" s="287"/>
      <c r="M125" s="287"/>
      <c r="N125" s="286"/>
      <c r="O125" s="291"/>
      <c r="P125" s="285"/>
      <c r="R125" s="283" t="str">
        <f t="shared" si="31"/>
        <v/>
      </c>
      <c r="S125" s="283" t="str">
        <f t="shared" si="32"/>
        <v/>
      </c>
      <c r="T125" s="283" t="str">
        <f t="shared" si="33"/>
        <v/>
      </c>
      <c r="X125" s="283">
        <v>4264</v>
      </c>
      <c r="Y125" s="283" t="s">
        <v>2412</v>
      </c>
      <c r="AA125" s="283" t="str">
        <f t="shared" si="34"/>
        <v>42</v>
      </c>
      <c r="AB125" s="283" t="str">
        <f t="shared" si="35"/>
        <v>426</v>
      </c>
      <c r="AD125" s="283" t="s">
        <v>2411</v>
      </c>
      <c r="AE125" s="283" t="s">
        <v>2410</v>
      </c>
      <c r="AF125" s="283" t="str">
        <f t="shared" si="36"/>
        <v>A679072</v>
      </c>
      <c r="AG125" s="283" t="str">
        <f>VLOOKUP(AF125,[2]AKT!$C$4:$E$324,3,FALSE)</f>
        <v>0942</v>
      </c>
    </row>
    <row r="126" spans="1:33">
      <c r="A126" s="290"/>
      <c r="B126" s="288" t="str">
        <f t="shared" si="25"/>
        <v/>
      </c>
      <c r="C126" s="290"/>
      <c r="D126" s="288" t="str">
        <f t="shared" si="26"/>
        <v/>
      </c>
      <c r="E126" s="289"/>
      <c r="F126" s="288" t="str">
        <f t="shared" si="27"/>
        <v/>
      </c>
      <c r="G126" s="288" t="str">
        <f t="shared" si="28"/>
        <v/>
      </c>
      <c r="H126" s="128"/>
      <c r="I126" s="128"/>
      <c r="J126" s="128"/>
      <c r="K126" s="286"/>
      <c r="L126" s="287"/>
      <c r="M126" s="287"/>
      <c r="N126" s="286"/>
      <c r="O126" s="291"/>
      <c r="P126" s="285"/>
      <c r="R126" s="283" t="str">
        <f t="shared" si="31"/>
        <v/>
      </c>
      <c r="S126" s="283" t="str">
        <f t="shared" si="32"/>
        <v/>
      </c>
      <c r="T126" s="283" t="str">
        <f t="shared" si="33"/>
        <v/>
      </c>
      <c r="X126" s="283">
        <v>4312</v>
      </c>
      <c r="Y126" s="283" t="s">
        <v>2409</v>
      </c>
      <c r="AA126" s="283" t="str">
        <f t="shared" si="34"/>
        <v>43</v>
      </c>
      <c r="AB126" s="283" t="str">
        <f t="shared" si="35"/>
        <v>431</v>
      </c>
      <c r="AD126" s="283" t="s">
        <v>2408</v>
      </c>
      <c r="AE126" s="283" t="s">
        <v>827</v>
      </c>
      <c r="AF126" s="283" t="str">
        <f t="shared" si="36"/>
        <v>A679072</v>
      </c>
      <c r="AG126" s="283" t="str">
        <f>VLOOKUP(AF126,[2]AKT!$C$4:$E$324,3,FALSE)</f>
        <v>0942</v>
      </c>
    </row>
    <row r="127" spans="1:33">
      <c r="A127" s="290"/>
      <c r="B127" s="288" t="str">
        <f t="shared" si="25"/>
        <v/>
      </c>
      <c r="C127" s="290"/>
      <c r="D127" s="288" t="str">
        <f t="shared" si="26"/>
        <v/>
      </c>
      <c r="E127" s="289"/>
      <c r="F127" s="288" t="str">
        <f t="shared" si="27"/>
        <v/>
      </c>
      <c r="G127" s="288" t="str">
        <f t="shared" si="28"/>
        <v/>
      </c>
      <c r="H127" s="128"/>
      <c r="I127" s="128"/>
      <c r="J127" s="128"/>
      <c r="K127" s="286"/>
      <c r="L127" s="287"/>
      <c r="M127" s="287"/>
      <c r="N127" s="286"/>
      <c r="O127" s="291"/>
      <c r="P127" s="285"/>
      <c r="R127" s="283" t="str">
        <f t="shared" si="31"/>
        <v/>
      </c>
      <c r="S127" s="283" t="str">
        <f t="shared" si="32"/>
        <v/>
      </c>
      <c r="T127" s="283" t="str">
        <f t="shared" si="33"/>
        <v/>
      </c>
      <c r="X127" s="283">
        <v>4411</v>
      </c>
      <c r="Y127" s="283" t="s">
        <v>2407</v>
      </c>
      <c r="AA127" s="283" t="str">
        <f t="shared" si="34"/>
        <v>44</v>
      </c>
      <c r="AB127" s="283" t="str">
        <f t="shared" si="35"/>
        <v>441</v>
      </c>
      <c r="AD127" s="283" t="s">
        <v>2406</v>
      </c>
      <c r="AE127" s="283" t="s">
        <v>2405</v>
      </c>
      <c r="AF127" s="283" t="str">
        <f t="shared" si="36"/>
        <v>A679072</v>
      </c>
      <c r="AG127" s="283" t="str">
        <f>VLOOKUP(AF127,[2]AKT!$C$4:$E$324,3,FALSE)</f>
        <v>0942</v>
      </c>
    </row>
    <row r="128" spans="1:33">
      <c r="A128" s="292"/>
      <c r="B128" s="288" t="str">
        <f t="shared" si="25"/>
        <v/>
      </c>
      <c r="C128" s="290"/>
      <c r="D128" s="288" t="str">
        <f t="shared" si="26"/>
        <v/>
      </c>
      <c r="E128" s="289"/>
      <c r="F128" s="288" t="str">
        <f t="shared" si="27"/>
        <v/>
      </c>
      <c r="G128" s="288" t="str">
        <f t="shared" si="28"/>
        <v/>
      </c>
      <c r="H128" s="128"/>
      <c r="I128" s="128"/>
      <c r="J128" s="128"/>
      <c r="K128" s="286"/>
      <c r="L128" s="287"/>
      <c r="M128" s="287"/>
      <c r="N128" s="286"/>
      <c r="O128" s="291"/>
      <c r="P128" s="285"/>
      <c r="R128" s="283" t="str">
        <f t="shared" si="31"/>
        <v/>
      </c>
      <c r="S128" s="283" t="str">
        <f t="shared" si="32"/>
        <v/>
      </c>
      <c r="T128" s="283" t="str">
        <f t="shared" si="33"/>
        <v/>
      </c>
      <c r="X128" s="283">
        <v>4511</v>
      </c>
      <c r="Y128" s="283" t="s">
        <v>325</v>
      </c>
      <c r="AA128" s="283" t="str">
        <f t="shared" si="34"/>
        <v>45</v>
      </c>
      <c r="AB128" s="283" t="str">
        <f t="shared" si="35"/>
        <v>451</v>
      </c>
      <c r="AD128" s="283" t="s">
        <v>2404</v>
      </c>
      <c r="AE128" s="283" t="s">
        <v>2403</v>
      </c>
      <c r="AF128" s="283" t="str">
        <f t="shared" si="36"/>
        <v>A679072</v>
      </c>
      <c r="AG128" s="283" t="str">
        <f>VLOOKUP(AF128,[2]AKT!$C$4:$E$324,3,FALSE)</f>
        <v>0942</v>
      </c>
    </row>
    <row r="129" spans="1:33">
      <c r="A129" s="292"/>
      <c r="B129" s="288" t="str">
        <f t="shared" si="25"/>
        <v/>
      </c>
      <c r="C129" s="290"/>
      <c r="D129" s="288" t="str">
        <f t="shared" si="26"/>
        <v/>
      </c>
      <c r="E129" s="289"/>
      <c r="F129" s="288" t="str">
        <f t="shared" si="27"/>
        <v/>
      </c>
      <c r="G129" s="288" t="str">
        <f t="shared" si="28"/>
        <v/>
      </c>
      <c r="H129" s="128"/>
      <c r="I129" s="128"/>
      <c r="J129" s="128"/>
      <c r="K129" s="286"/>
      <c r="L129" s="287"/>
      <c r="M129" s="287"/>
      <c r="N129" s="286"/>
      <c r="O129" s="291"/>
      <c r="P129" s="285"/>
      <c r="R129" s="283" t="str">
        <f t="shared" si="31"/>
        <v/>
      </c>
      <c r="S129" s="283" t="str">
        <f t="shared" si="32"/>
        <v/>
      </c>
      <c r="T129" s="283" t="str">
        <f t="shared" si="33"/>
        <v/>
      </c>
      <c r="X129" s="283">
        <v>4521</v>
      </c>
      <c r="Y129" s="283" t="s">
        <v>2402</v>
      </c>
      <c r="AA129" s="283" t="str">
        <f t="shared" si="34"/>
        <v>45</v>
      </c>
      <c r="AB129" s="283" t="str">
        <f t="shared" si="35"/>
        <v>452</v>
      </c>
      <c r="AD129" s="283" t="s">
        <v>2401</v>
      </c>
      <c r="AE129" s="283" t="s">
        <v>2400</v>
      </c>
      <c r="AF129" s="283" t="str">
        <f t="shared" si="36"/>
        <v>A679072</v>
      </c>
      <c r="AG129" s="283" t="str">
        <f>VLOOKUP(AF129,[2]AKT!$C$4:$E$324,3,FALSE)</f>
        <v>0942</v>
      </c>
    </row>
    <row r="130" spans="1:33">
      <c r="A130" s="290"/>
      <c r="B130" s="288" t="str">
        <f t="shared" si="25"/>
        <v/>
      </c>
      <c r="C130" s="290"/>
      <c r="D130" s="288" t="str">
        <f t="shared" si="26"/>
        <v/>
      </c>
      <c r="E130" s="289"/>
      <c r="F130" s="288" t="str">
        <f t="shared" si="27"/>
        <v/>
      </c>
      <c r="G130" s="288" t="str">
        <f t="shared" si="28"/>
        <v/>
      </c>
      <c r="H130" s="128"/>
      <c r="I130" s="128"/>
      <c r="J130" s="128"/>
      <c r="K130" s="286"/>
      <c r="L130" s="287"/>
      <c r="M130" s="287"/>
      <c r="N130" s="286"/>
      <c r="O130" s="291"/>
      <c r="P130" s="285"/>
      <c r="R130" s="283" t="str">
        <f t="shared" si="31"/>
        <v/>
      </c>
      <c r="S130" s="283" t="str">
        <f t="shared" si="32"/>
        <v/>
      </c>
      <c r="T130" s="283" t="str">
        <f t="shared" si="33"/>
        <v/>
      </c>
      <c r="X130" s="283">
        <v>4531</v>
      </c>
      <c r="Y130" s="283" t="s">
        <v>2399</v>
      </c>
      <c r="AA130" s="283" t="str">
        <f t="shared" si="34"/>
        <v>45</v>
      </c>
      <c r="AB130" s="283" t="str">
        <f t="shared" si="35"/>
        <v>453</v>
      </c>
      <c r="AD130" s="283" t="s">
        <v>2398</v>
      </c>
      <c r="AE130" s="283" t="s">
        <v>2397</v>
      </c>
      <c r="AF130" s="283" t="str">
        <f t="shared" si="36"/>
        <v>A679072</v>
      </c>
      <c r="AG130" s="283" t="str">
        <f>VLOOKUP(AF130,[2]AKT!$C$4:$E$324,3,FALSE)</f>
        <v>0942</v>
      </c>
    </row>
    <row r="131" spans="1:33">
      <c r="A131" s="290"/>
      <c r="B131" s="288" t="str">
        <f t="shared" si="25"/>
        <v/>
      </c>
      <c r="C131" s="290"/>
      <c r="D131" s="288" t="str">
        <f t="shared" si="26"/>
        <v/>
      </c>
      <c r="E131" s="289"/>
      <c r="F131" s="288" t="str">
        <f t="shared" si="27"/>
        <v/>
      </c>
      <c r="G131" s="288" t="str">
        <f t="shared" si="28"/>
        <v/>
      </c>
      <c r="H131" s="128"/>
      <c r="I131" s="128"/>
      <c r="J131" s="128"/>
      <c r="K131" s="286"/>
      <c r="L131" s="287"/>
      <c r="M131" s="287"/>
      <c r="N131" s="286"/>
      <c r="O131" s="291"/>
      <c r="P131" s="285"/>
      <c r="R131" s="283" t="str">
        <f t="shared" si="31"/>
        <v/>
      </c>
      <c r="S131" s="283" t="str">
        <f t="shared" si="32"/>
        <v/>
      </c>
      <c r="T131" s="283" t="str">
        <f t="shared" si="33"/>
        <v/>
      </c>
      <c r="X131" s="283">
        <v>4541</v>
      </c>
      <c r="Y131" s="283" t="s">
        <v>2396</v>
      </c>
      <c r="AA131" s="283" t="str">
        <f t="shared" si="34"/>
        <v>45</v>
      </c>
      <c r="AB131" s="283" t="str">
        <f t="shared" si="35"/>
        <v>454</v>
      </c>
      <c r="AD131" s="283" t="s">
        <v>2395</v>
      </c>
      <c r="AE131" s="283" t="s">
        <v>2394</v>
      </c>
      <c r="AF131" s="283" t="str">
        <f t="shared" si="36"/>
        <v>A679072</v>
      </c>
      <c r="AG131" s="283" t="str">
        <f>VLOOKUP(AF131,[2]AKT!$C$4:$E$324,3,FALSE)</f>
        <v>0942</v>
      </c>
    </row>
    <row r="132" spans="1:33">
      <c r="A132" s="290"/>
      <c r="B132" s="288" t="str">
        <f t="shared" si="25"/>
        <v/>
      </c>
      <c r="C132" s="290"/>
      <c r="D132" s="288" t="str">
        <f t="shared" si="26"/>
        <v/>
      </c>
      <c r="E132" s="289"/>
      <c r="F132" s="288" t="str">
        <f t="shared" si="27"/>
        <v/>
      </c>
      <c r="G132" s="288" t="str">
        <f t="shared" si="28"/>
        <v/>
      </c>
      <c r="H132" s="128"/>
      <c r="I132" s="128"/>
      <c r="J132" s="128"/>
      <c r="K132" s="286"/>
      <c r="L132" s="287"/>
      <c r="M132" s="287"/>
      <c r="N132" s="286"/>
      <c r="O132" s="291"/>
      <c r="P132" s="285"/>
      <c r="R132" s="283" t="str">
        <f t="shared" si="31"/>
        <v/>
      </c>
      <c r="S132" s="283" t="str">
        <f t="shared" si="32"/>
        <v/>
      </c>
      <c r="T132" s="283" t="str">
        <f t="shared" si="33"/>
        <v/>
      </c>
      <c r="X132" s="283">
        <v>5121</v>
      </c>
      <c r="Y132" s="283" t="s">
        <v>2393</v>
      </c>
      <c r="AA132" s="283" t="str">
        <f t="shared" si="34"/>
        <v>51</v>
      </c>
      <c r="AB132" s="283" t="str">
        <f t="shared" si="35"/>
        <v>512</v>
      </c>
      <c r="AD132" s="283" t="s">
        <v>2392</v>
      </c>
      <c r="AE132" s="283" t="s">
        <v>2391</v>
      </c>
      <c r="AF132" s="283" t="str">
        <f t="shared" si="36"/>
        <v>A679072</v>
      </c>
      <c r="AG132" s="283" t="str">
        <f>VLOOKUP(AF132,[2]AKT!$C$4:$E$324,3,FALSE)</f>
        <v>0942</v>
      </c>
    </row>
    <row r="133" spans="1:33">
      <c r="A133" s="290"/>
      <c r="B133" s="288" t="str">
        <f t="shared" si="25"/>
        <v/>
      </c>
      <c r="C133" s="290"/>
      <c r="D133" s="288" t="str">
        <f t="shared" si="26"/>
        <v/>
      </c>
      <c r="E133" s="289"/>
      <c r="F133" s="288" t="str">
        <f t="shared" si="27"/>
        <v/>
      </c>
      <c r="G133" s="288" t="str">
        <f t="shared" si="28"/>
        <v/>
      </c>
      <c r="H133" s="128"/>
      <c r="I133" s="128"/>
      <c r="J133" s="128"/>
      <c r="K133" s="286"/>
      <c r="L133" s="287"/>
      <c r="M133" s="287"/>
      <c r="N133" s="286"/>
      <c r="O133" s="291"/>
      <c r="P133" s="285"/>
      <c r="R133" s="283" t="str">
        <f t="shared" si="31"/>
        <v/>
      </c>
      <c r="S133" s="283" t="str">
        <f t="shared" si="32"/>
        <v/>
      </c>
      <c r="T133" s="283" t="str">
        <f t="shared" si="33"/>
        <v/>
      </c>
      <c r="X133" s="283">
        <v>5443</v>
      </c>
      <c r="Y133" s="283" t="s">
        <v>2390</v>
      </c>
      <c r="AA133" s="283" t="str">
        <f t="shared" si="34"/>
        <v>54</v>
      </c>
      <c r="AB133" s="283" t="str">
        <f t="shared" si="35"/>
        <v>544</v>
      </c>
      <c r="AD133" s="283" t="s">
        <v>2389</v>
      </c>
      <c r="AE133" s="283" t="s">
        <v>2388</v>
      </c>
      <c r="AF133" s="283" t="str">
        <f t="shared" si="36"/>
        <v>A679072</v>
      </c>
      <c r="AG133" s="283" t="str">
        <f>VLOOKUP(AF133,[2]AKT!$C$4:$E$324,3,FALSE)</f>
        <v>0942</v>
      </c>
    </row>
    <row r="134" spans="1:33">
      <c r="A134" s="290"/>
      <c r="B134" s="288" t="str">
        <f t="shared" si="25"/>
        <v/>
      </c>
      <c r="C134" s="290"/>
      <c r="D134" s="288" t="str">
        <f t="shared" si="26"/>
        <v/>
      </c>
      <c r="E134" s="289"/>
      <c r="F134" s="288" t="str">
        <f t="shared" si="27"/>
        <v/>
      </c>
      <c r="G134" s="288" t="str">
        <f t="shared" si="28"/>
        <v/>
      </c>
      <c r="H134" s="128"/>
      <c r="I134" s="128"/>
      <c r="J134" s="128"/>
      <c r="K134" s="286"/>
      <c r="L134" s="287"/>
      <c r="M134" s="287"/>
      <c r="N134" s="286"/>
      <c r="O134" s="291"/>
      <c r="P134" s="285"/>
      <c r="R134" s="283" t="str">
        <f t="shared" si="31"/>
        <v/>
      </c>
      <c r="S134" s="283" t="str">
        <f t="shared" si="32"/>
        <v/>
      </c>
      <c r="T134" s="283" t="str">
        <f t="shared" si="33"/>
        <v/>
      </c>
      <c r="X134" s="283">
        <v>5121</v>
      </c>
      <c r="Y134" s="283" t="s">
        <v>2387</v>
      </c>
      <c r="AA134" s="283" t="str">
        <f t="shared" si="34"/>
        <v>51</v>
      </c>
      <c r="AB134" s="283" t="str">
        <f t="shared" si="35"/>
        <v>512</v>
      </c>
      <c r="AD134" s="283" t="s">
        <v>2386</v>
      </c>
      <c r="AE134" s="283" t="s">
        <v>2385</v>
      </c>
      <c r="AF134" s="283" t="str">
        <f t="shared" si="36"/>
        <v>A679072</v>
      </c>
      <c r="AG134" s="283" t="str">
        <f>VLOOKUP(AF134,[2]AKT!$C$4:$E$324,3,FALSE)</f>
        <v>0942</v>
      </c>
    </row>
    <row r="135" spans="1:33">
      <c r="A135" s="290"/>
      <c r="B135" s="288" t="str">
        <f t="shared" si="25"/>
        <v/>
      </c>
      <c r="C135" s="290"/>
      <c r="D135" s="288" t="str">
        <f t="shared" si="26"/>
        <v/>
      </c>
      <c r="E135" s="289"/>
      <c r="F135" s="288" t="str">
        <f t="shared" si="27"/>
        <v/>
      </c>
      <c r="G135" s="288" t="str">
        <f t="shared" si="28"/>
        <v/>
      </c>
      <c r="H135" s="128"/>
      <c r="I135" s="128"/>
      <c r="J135" s="128"/>
      <c r="K135" s="286"/>
      <c r="L135" s="287"/>
      <c r="M135" s="287"/>
      <c r="N135" s="286"/>
      <c r="O135" s="291"/>
      <c r="P135" s="285"/>
      <c r="R135" s="283" t="str">
        <f t="shared" si="31"/>
        <v/>
      </c>
      <c r="S135" s="283" t="str">
        <f t="shared" si="32"/>
        <v/>
      </c>
      <c r="T135" s="283" t="str">
        <f t="shared" si="33"/>
        <v/>
      </c>
      <c r="X135" s="283">
        <v>5122</v>
      </c>
      <c r="Y135" s="283" t="s">
        <v>2384</v>
      </c>
      <c r="AA135" s="283" t="str">
        <f t="shared" si="34"/>
        <v>51</v>
      </c>
      <c r="AB135" s="283" t="str">
        <f t="shared" si="35"/>
        <v>512</v>
      </c>
      <c r="AD135" s="283" t="s">
        <v>2383</v>
      </c>
      <c r="AE135" s="283" t="s">
        <v>2382</v>
      </c>
      <c r="AF135" s="283" t="str">
        <f t="shared" si="36"/>
        <v>A679072</v>
      </c>
      <c r="AG135" s="283" t="str">
        <f>VLOOKUP(AF135,[2]AKT!$C$4:$E$324,3,FALSE)</f>
        <v>0942</v>
      </c>
    </row>
    <row r="136" spans="1:33">
      <c r="A136" s="290"/>
      <c r="B136" s="288" t="str">
        <f t="shared" si="25"/>
        <v/>
      </c>
      <c r="C136" s="290"/>
      <c r="D136" s="288" t="str">
        <f t="shared" si="26"/>
        <v/>
      </c>
      <c r="E136" s="289"/>
      <c r="F136" s="288" t="str">
        <f t="shared" si="27"/>
        <v/>
      </c>
      <c r="G136" s="288" t="str">
        <f t="shared" si="28"/>
        <v/>
      </c>
      <c r="H136" s="128"/>
      <c r="I136" s="128"/>
      <c r="J136" s="128"/>
      <c r="K136" s="286"/>
      <c r="L136" s="287"/>
      <c r="M136" s="287"/>
      <c r="N136" s="286"/>
      <c r="O136" s="291"/>
      <c r="P136" s="285"/>
      <c r="R136" s="283" t="str">
        <f t="shared" si="31"/>
        <v/>
      </c>
      <c r="S136" s="283" t="str">
        <f t="shared" si="32"/>
        <v/>
      </c>
      <c r="T136" s="283" t="str">
        <f t="shared" si="33"/>
        <v/>
      </c>
      <c r="X136" s="283">
        <v>5141</v>
      </c>
      <c r="Y136" s="283" t="s">
        <v>2381</v>
      </c>
      <c r="AA136" s="283" t="str">
        <f t="shared" si="34"/>
        <v>51</v>
      </c>
      <c r="AB136" s="283" t="str">
        <f t="shared" si="35"/>
        <v>514</v>
      </c>
      <c r="AD136" s="283" t="s">
        <v>2380</v>
      </c>
      <c r="AE136" s="283" t="s">
        <v>2379</v>
      </c>
      <c r="AF136" s="283" t="str">
        <f t="shared" si="36"/>
        <v>A679072</v>
      </c>
      <c r="AG136" s="283" t="str">
        <f>VLOOKUP(AF136,[2]AKT!$C$4:$E$324,3,FALSE)</f>
        <v>0942</v>
      </c>
    </row>
    <row r="137" spans="1:33">
      <c r="A137" s="290"/>
      <c r="B137" s="288" t="str">
        <f t="shared" si="25"/>
        <v/>
      </c>
      <c r="C137" s="290"/>
      <c r="D137" s="288" t="str">
        <f t="shared" si="26"/>
        <v/>
      </c>
      <c r="E137" s="289"/>
      <c r="F137" s="288" t="str">
        <f t="shared" si="27"/>
        <v/>
      </c>
      <c r="G137" s="288" t="str">
        <f t="shared" si="28"/>
        <v/>
      </c>
      <c r="H137" s="128"/>
      <c r="I137" s="128"/>
      <c r="J137" s="128"/>
      <c r="K137" s="286"/>
      <c r="L137" s="287"/>
      <c r="M137" s="287"/>
      <c r="N137" s="286"/>
      <c r="O137" s="291"/>
      <c r="P137" s="285"/>
      <c r="R137" s="283" t="str">
        <f t="shared" si="31"/>
        <v/>
      </c>
      <c r="S137" s="283" t="str">
        <f t="shared" si="32"/>
        <v/>
      </c>
      <c r="T137" s="283" t="str">
        <f t="shared" si="33"/>
        <v/>
      </c>
      <c r="X137" s="283">
        <v>5181</v>
      </c>
      <c r="Y137" s="283" t="s">
        <v>2378</v>
      </c>
      <c r="AA137" s="283" t="str">
        <f t="shared" si="34"/>
        <v>51</v>
      </c>
      <c r="AB137" s="283" t="str">
        <f t="shared" si="35"/>
        <v>518</v>
      </c>
      <c r="AD137" s="283" t="s">
        <v>2377</v>
      </c>
      <c r="AE137" s="283" t="s">
        <v>2376</v>
      </c>
      <c r="AF137" s="283" t="str">
        <f t="shared" si="36"/>
        <v>A679072</v>
      </c>
      <c r="AG137" s="283" t="str">
        <f>VLOOKUP(AF137,[2]AKT!$C$4:$E$324,3,FALSE)</f>
        <v>0942</v>
      </c>
    </row>
    <row r="138" spans="1:33">
      <c r="A138" s="290"/>
      <c r="B138" s="288" t="str">
        <f t="shared" ref="B138:B201" si="37">IFERROR(VLOOKUP(A138,$U$6:$V$31,2,FALSE),"")</f>
        <v/>
      </c>
      <c r="C138" s="290"/>
      <c r="D138" s="288" t="str">
        <f t="shared" ref="D138:D201" si="38">IFERROR(VLOOKUP(C138,$X$5:$Z$144,2,FALSE),"")</f>
        <v/>
      </c>
      <c r="E138" s="289"/>
      <c r="F138" s="288" t="str">
        <f t="shared" ref="F138:F201" si="39">IFERROR(VLOOKUP(E138,$AD$6:$AE$1105,2,FALSE),"")</f>
        <v/>
      </c>
      <c r="G138" s="288" t="str">
        <f t="shared" ref="G138:G201" si="40">IFERROR(VLOOKUP(E138,$AD$6:$AG$1105,4,FALSE),"")</f>
        <v/>
      </c>
      <c r="H138" s="128"/>
      <c r="I138" s="128"/>
      <c r="J138" s="128"/>
      <c r="K138" s="286"/>
      <c r="L138" s="287"/>
      <c r="M138" s="287"/>
      <c r="N138" s="286"/>
      <c r="O138" s="291"/>
      <c r="P138" s="285"/>
      <c r="R138" s="283" t="str">
        <f t="shared" si="31"/>
        <v/>
      </c>
      <c r="S138" s="283" t="str">
        <f t="shared" si="32"/>
        <v/>
      </c>
      <c r="T138" s="283" t="str">
        <f t="shared" si="33"/>
        <v/>
      </c>
      <c r="X138" s="283">
        <v>5183</v>
      </c>
      <c r="Y138" s="283" t="s">
        <v>2375</v>
      </c>
      <c r="AA138" s="283" t="str">
        <f t="shared" si="34"/>
        <v>51</v>
      </c>
      <c r="AB138" s="283" t="str">
        <f t="shared" si="35"/>
        <v>518</v>
      </c>
      <c r="AD138" s="283" t="s">
        <v>2374</v>
      </c>
      <c r="AE138" s="283" t="s">
        <v>2373</v>
      </c>
      <c r="AF138" s="283" t="str">
        <f t="shared" si="36"/>
        <v>A679072</v>
      </c>
      <c r="AG138" s="283" t="str">
        <f>VLOOKUP(AF138,[2]AKT!$C$4:$E$324,3,FALSE)</f>
        <v>0942</v>
      </c>
    </row>
    <row r="139" spans="1:33">
      <c r="A139" s="290"/>
      <c r="B139" s="288" t="str">
        <f t="shared" si="37"/>
        <v/>
      </c>
      <c r="C139" s="290"/>
      <c r="D139" s="288" t="str">
        <f t="shared" si="38"/>
        <v/>
      </c>
      <c r="E139" s="289"/>
      <c r="F139" s="288" t="str">
        <f t="shared" si="39"/>
        <v/>
      </c>
      <c r="G139" s="288" t="str">
        <f t="shared" si="40"/>
        <v/>
      </c>
      <c r="H139" s="128"/>
      <c r="I139" s="128"/>
      <c r="J139" s="128"/>
      <c r="K139" s="286"/>
      <c r="L139" s="287"/>
      <c r="M139" s="287"/>
      <c r="N139" s="286"/>
      <c r="O139" s="291"/>
      <c r="P139" s="285"/>
      <c r="R139" s="283" t="str">
        <f t="shared" si="31"/>
        <v/>
      </c>
      <c r="S139" s="283" t="str">
        <f t="shared" si="32"/>
        <v/>
      </c>
      <c r="T139" s="283" t="str">
        <f t="shared" si="33"/>
        <v/>
      </c>
      <c r="X139" s="283">
        <v>5422</v>
      </c>
      <c r="Y139" s="283" t="s">
        <v>2372</v>
      </c>
      <c r="AA139" s="283" t="str">
        <f t="shared" si="34"/>
        <v>54</v>
      </c>
      <c r="AB139" s="283" t="str">
        <f t="shared" si="35"/>
        <v>542</v>
      </c>
      <c r="AD139" s="283" t="s">
        <v>2371</v>
      </c>
      <c r="AE139" s="283" t="s">
        <v>2370</v>
      </c>
      <c r="AF139" s="283" t="str">
        <f t="shared" si="36"/>
        <v>A679072</v>
      </c>
      <c r="AG139" s="283" t="str">
        <f>VLOOKUP(AF139,[2]AKT!$C$4:$E$324,3,FALSE)</f>
        <v>0942</v>
      </c>
    </row>
    <row r="140" spans="1:33">
      <c r="A140" s="290"/>
      <c r="B140" s="288" t="str">
        <f t="shared" si="37"/>
        <v/>
      </c>
      <c r="C140" s="290"/>
      <c r="D140" s="288" t="str">
        <f t="shared" si="38"/>
        <v/>
      </c>
      <c r="E140" s="289"/>
      <c r="F140" s="288" t="str">
        <f t="shared" si="39"/>
        <v/>
      </c>
      <c r="G140" s="288" t="str">
        <f t="shared" si="40"/>
        <v/>
      </c>
      <c r="H140" s="128"/>
      <c r="I140" s="128"/>
      <c r="J140" s="128"/>
      <c r="K140" s="286"/>
      <c r="L140" s="287"/>
      <c r="M140" s="287"/>
      <c r="N140" s="286"/>
      <c r="O140" s="291"/>
      <c r="P140" s="285"/>
      <c r="R140" s="283" t="str">
        <f t="shared" si="31"/>
        <v/>
      </c>
      <c r="S140" s="283" t="str">
        <f t="shared" si="32"/>
        <v/>
      </c>
      <c r="T140" s="283" t="str">
        <f t="shared" si="33"/>
        <v/>
      </c>
      <c r="X140" s="283">
        <v>5431</v>
      </c>
      <c r="Y140" s="283" t="s">
        <v>2369</v>
      </c>
      <c r="AA140" s="283" t="str">
        <f t="shared" si="34"/>
        <v>54</v>
      </c>
      <c r="AB140" s="283" t="str">
        <f t="shared" si="35"/>
        <v>543</v>
      </c>
      <c r="AD140" s="283" t="s">
        <v>2368</v>
      </c>
      <c r="AE140" s="283" t="s">
        <v>2367</v>
      </c>
      <c r="AF140" s="283" t="str">
        <f t="shared" si="36"/>
        <v>A679072</v>
      </c>
      <c r="AG140" s="283" t="str">
        <f>VLOOKUP(AF140,[2]AKT!$C$4:$E$324,3,FALSE)</f>
        <v>0942</v>
      </c>
    </row>
    <row r="141" spans="1:33">
      <c r="A141" s="290"/>
      <c r="B141" s="288" t="str">
        <f t="shared" si="37"/>
        <v/>
      </c>
      <c r="C141" s="290"/>
      <c r="D141" s="288" t="str">
        <f t="shared" si="38"/>
        <v/>
      </c>
      <c r="E141" s="289"/>
      <c r="F141" s="288" t="str">
        <f t="shared" si="39"/>
        <v/>
      </c>
      <c r="G141" s="288" t="str">
        <f t="shared" si="40"/>
        <v/>
      </c>
      <c r="H141" s="128"/>
      <c r="I141" s="128"/>
      <c r="J141" s="128"/>
      <c r="K141" s="286"/>
      <c r="L141" s="287"/>
      <c r="M141" s="287"/>
      <c r="N141" s="286"/>
      <c r="O141" s="291"/>
      <c r="P141" s="285"/>
      <c r="R141" s="283" t="str">
        <f t="shared" si="31"/>
        <v/>
      </c>
      <c r="S141" s="283" t="str">
        <f t="shared" si="32"/>
        <v/>
      </c>
      <c r="T141" s="283" t="str">
        <f t="shared" si="33"/>
        <v/>
      </c>
      <c r="X141" s="283">
        <v>5443</v>
      </c>
      <c r="Y141" s="283" t="s">
        <v>2366</v>
      </c>
      <c r="AA141" s="283" t="str">
        <f t="shared" si="34"/>
        <v>54</v>
      </c>
      <c r="AB141" s="283" t="str">
        <f t="shared" si="35"/>
        <v>544</v>
      </c>
      <c r="AD141" s="283" t="s">
        <v>2365</v>
      </c>
      <c r="AE141" s="283" t="s">
        <v>2364</v>
      </c>
      <c r="AF141" s="283" t="str">
        <f t="shared" si="36"/>
        <v>A679072</v>
      </c>
      <c r="AG141" s="283" t="str">
        <f>VLOOKUP(AF141,[2]AKT!$C$4:$E$324,3,FALSE)</f>
        <v>0942</v>
      </c>
    </row>
    <row r="142" spans="1:33">
      <c r="A142" s="290"/>
      <c r="B142" s="288" t="str">
        <f t="shared" si="37"/>
        <v/>
      </c>
      <c r="C142" s="290"/>
      <c r="D142" s="288" t="str">
        <f t="shared" si="38"/>
        <v/>
      </c>
      <c r="E142" s="289"/>
      <c r="F142" s="288" t="str">
        <f t="shared" si="39"/>
        <v/>
      </c>
      <c r="G142" s="288" t="str">
        <f t="shared" si="40"/>
        <v/>
      </c>
      <c r="H142" s="128"/>
      <c r="I142" s="128"/>
      <c r="J142" s="128"/>
      <c r="K142" s="286"/>
      <c r="L142" s="287"/>
      <c r="M142" s="287"/>
      <c r="N142" s="286"/>
      <c r="O142" s="291"/>
      <c r="P142" s="285"/>
      <c r="R142" s="283" t="str">
        <f t="shared" si="31"/>
        <v/>
      </c>
      <c r="S142" s="283" t="str">
        <f t="shared" si="32"/>
        <v/>
      </c>
      <c r="T142" s="283" t="str">
        <f t="shared" si="33"/>
        <v/>
      </c>
      <c r="X142" s="283">
        <v>5445</v>
      </c>
      <c r="Y142" s="283" t="s">
        <v>2363</v>
      </c>
      <c r="AA142" s="283" t="str">
        <f t="shared" si="34"/>
        <v>54</v>
      </c>
      <c r="AB142" s="283" t="str">
        <f t="shared" si="35"/>
        <v>544</v>
      </c>
      <c r="AD142" s="283" t="s">
        <v>2362</v>
      </c>
      <c r="AE142" s="283" t="s">
        <v>2361</v>
      </c>
      <c r="AF142" s="283" t="str">
        <f t="shared" si="36"/>
        <v>A679072</v>
      </c>
      <c r="AG142" s="283" t="str">
        <f>VLOOKUP(AF142,[2]AKT!$C$4:$E$324,3,FALSE)</f>
        <v>0942</v>
      </c>
    </row>
    <row r="143" spans="1:33">
      <c r="A143" s="290"/>
      <c r="B143" s="288" t="str">
        <f t="shared" si="37"/>
        <v/>
      </c>
      <c r="C143" s="290"/>
      <c r="D143" s="288" t="str">
        <f t="shared" si="38"/>
        <v/>
      </c>
      <c r="E143" s="289"/>
      <c r="F143" s="288" t="str">
        <f t="shared" si="39"/>
        <v/>
      </c>
      <c r="G143" s="288" t="str">
        <f t="shared" si="40"/>
        <v/>
      </c>
      <c r="H143" s="128"/>
      <c r="I143" s="128"/>
      <c r="J143" s="128"/>
      <c r="K143" s="286"/>
      <c r="L143" s="287"/>
      <c r="M143" s="287"/>
      <c r="N143" s="286"/>
      <c r="O143" s="291"/>
      <c r="P143" s="285"/>
      <c r="R143" s="283" t="str">
        <f t="shared" si="31"/>
        <v/>
      </c>
      <c r="S143" s="283" t="str">
        <f t="shared" si="32"/>
        <v/>
      </c>
      <c r="T143" s="283" t="str">
        <f t="shared" si="33"/>
        <v/>
      </c>
      <c r="X143" s="283">
        <v>5453</v>
      </c>
      <c r="Y143" s="283" t="s">
        <v>2360</v>
      </c>
      <c r="AA143" s="283" t="str">
        <f t="shared" si="34"/>
        <v>54</v>
      </c>
      <c r="AB143" s="283" t="str">
        <f t="shared" si="35"/>
        <v>545</v>
      </c>
      <c r="AD143" s="283" t="s">
        <v>2359</v>
      </c>
      <c r="AE143" s="283" t="s">
        <v>2358</v>
      </c>
      <c r="AF143" s="283" t="str">
        <f t="shared" si="36"/>
        <v>A679072</v>
      </c>
      <c r="AG143" s="283" t="str">
        <f>VLOOKUP(AF143,[2]AKT!$C$4:$E$324,3,FALSE)</f>
        <v>0942</v>
      </c>
    </row>
    <row r="144" spans="1:33">
      <c r="A144" s="290"/>
      <c r="B144" s="288" t="str">
        <f t="shared" si="37"/>
        <v/>
      </c>
      <c r="C144" s="290"/>
      <c r="D144" s="288" t="str">
        <f t="shared" si="38"/>
        <v/>
      </c>
      <c r="E144" s="289"/>
      <c r="F144" s="288" t="str">
        <f t="shared" si="39"/>
        <v/>
      </c>
      <c r="G144" s="288" t="str">
        <f t="shared" si="40"/>
        <v/>
      </c>
      <c r="H144" s="128"/>
      <c r="I144" s="128"/>
      <c r="J144" s="128"/>
      <c r="K144" s="286"/>
      <c r="L144" s="287"/>
      <c r="M144" s="287"/>
      <c r="N144" s="286"/>
      <c r="O144" s="291"/>
      <c r="P144" s="285"/>
      <c r="R144" s="283" t="str">
        <f t="shared" si="31"/>
        <v/>
      </c>
      <c r="S144" s="283" t="str">
        <f t="shared" si="32"/>
        <v/>
      </c>
      <c r="T144" s="283" t="str">
        <f t="shared" si="33"/>
        <v/>
      </c>
      <c r="X144" s="283">
        <v>5472</v>
      </c>
      <c r="Y144" s="283" t="s">
        <v>2357</v>
      </c>
      <c r="AA144" s="283" t="str">
        <f t="shared" si="34"/>
        <v>54</v>
      </c>
      <c r="AB144" s="283" t="str">
        <f t="shared" si="35"/>
        <v>547</v>
      </c>
      <c r="AD144" s="283" t="s">
        <v>2356</v>
      </c>
      <c r="AE144" s="283" t="s">
        <v>2355</v>
      </c>
      <c r="AF144" s="283" t="str">
        <f t="shared" si="36"/>
        <v>A679072</v>
      </c>
      <c r="AG144" s="283" t="str">
        <f>VLOOKUP(AF144,[2]AKT!$C$4:$E$324,3,FALSE)</f>
        <v>0942</v>
      </c>
    </row>
    <row r="145" spans="1:33">
      <c r="A145" s="290"/>
      <c r="B145" s="288" t="str">
        <f t="shared" si="37"/>
        <v/>
      </c>
      <c r="C145" s="290"/>
      <c r="D145" s="288" t="str">
        <f t="shared" si="38"/>
        <v/>
      </c>
      <c r="E145" s="289"/>
      <c r="F145" s="288" t="str">
        <f t="shared" si="39"/>
        <v/>
      </c>
      <c r="G145" s="288" t="str">
        <f t="shared" si="40"/>
        <v/>
      </c>
      <c r="H145" s="128"/>
      <c r="I145" s="128"/>
      <c r="J145" s="128"/>
      <c r="K145" s="286"/>
      <c r="L145" s="287"/>
      <c r="M145" s="287"/>
      <c r="N145" s="286"/>
      <c r="O145" s="291"/>
      <c r="P145" s="285"/>
      <c r="R145" s="283" t="str">
        <f t="shared" si="31"/>
        <v/>
      </c>
      <c r="S145" s="283" t="str">
        <f t="shared" si="32"/>
        <v/>
      </c>
      <c r="T145" s="283" t="str">
        <f t="shared" si="33"/>
        <v/>
      </c>
      <c r="AD145" s="283" t="s">
        <v>2354</v>
      </c>
      <c r="AE145" s="283" t="s">
        <v>2353</v>
      </c>
      <c r="AF145" s="283" t="str">
        <f t="shared" si="36"/>
        <v>A679072</v>
      </c>
      <c r="AG145" s="283" t="str">
        <f>VLOOKUP(AF145,[2]AKT!$C$4:$E$324,3,FALSE)</f>
        <v>0942</v>
      </c>
    </row>
    <row r="146" spans="1:33">
      <c r="A146" s="290"/>
      <c r="B146" s="288" t="str">
        <f t="shared" si="37"/>
        <v/>
      </c>
      <c r="C146" s="290"/>
      <c r="D146" s="288" t="str">
        <f t="shared" si="38"/>
        <v/>
      </c>
      <c r="E146" s="289"/>
      <c r="F146" s="288" t="str">
        <f t="shared" si="39"/>
        <v/>
      </c>
      <c r="G146" s="288" t="str">
        <f t="shared" si="40"/>
        <v/>
      </c>
      <c r="H146" s="128"/>
      <c r="I146" s="128"/>
      <c r="J146" s="128"/>
      <c r="K146" s="286"/>
      <c r="L146" s="287"/>
      <c r="M146" s="287"/>
      <c r="N146" s="286"/>
      <c r="O146" s="291"/>
      <c r="P146" s="285"/>
      <c r="R146" s="283" t="str">
        <f t="shared" si="31"/>
        <v/>
      </c>
      <c r="S146" s="283" t="str">
        <f t="shared" si="32"/>
        <v/>
      </c>
      <c r="T146" s="283" t="str">
        <f t="shared" si="33"/>
        <v/>
      </c>
      <c r="AD146" s="283" t="s">
        <v>2352</v>
      </c>
      <c r="AE146" s="283" t="s">
        <v>2351</v>
      </c>
      <c r="AF146" s="283" t="str">
        <f t="shared" si="36"/>
        <v>A679072</v>
      </c>
      <c r="AG146" s="283" t="str">
        <f>VLOOKUP(AF146,[2]AKT!$C$4:$E$324,3,FALSE)</f>
        <v>0942</v>
      </c>
    </row>
    <row r="147" spans="1:33">
      <c r="A147" s="290"/>
      <c r="B147" s="288" t="str">
        <f t="shared" si="37"/>
        <v/>
      </c>
      <c r="C147" s="290"/>
      <c r="D147" s="288" t="str">
        <f t="shared" si="38"/>
        <v/>
      </c>
      <c r="E147" s="289"/>
      <c r="F147" s="288" t="str">
        <f t="shared" si="39"/>
        <v/>
      </c>
      <c r="G147" s="288" t="str">
        <f t="shared" si="40"/>
        <v/>
      </c>
      <c r="H147" s="128"/>
      <c r="I147" s="128"/>
      <c r="J147" s="128"/>
      <c r="K147" s="286"/>
      <c r="L147" s="287"/>
      <c r="M147" s="287"/>
      <c r="N147" s="286"/>
      <c r="O147" s="291"/>
      <c r="P147" s="285"/>
      <c r="R147" s="283" t="str">
        <f t="shared" si="31"/>
        <v/>
      </c>
      <c r="S147" s="283" t="str">
        <f t="shared" si="32"/>
        <v/>
      </c>
      <c r="T147" s="283" t="str">
        <f t="shared" si="33"/>
        <v/>
      </c>
      <c r="AD147" s="283" t="s">
        <v>2350</v>
      </c>
      <c r="AE147" s="283" t="s">
        <v>2349</v>
      </c>
      <c r="AF147" s="283" t="str">
        <f t="shared" si="36"/>
        <v>A679072</v>
      </c>
      <c r="AG147" s="283" t="str">
        <f>VLOOKUP(AF147,[2]AKT!$C$4:$E$324,3,FALSE)</f>
        <v>0942</v>
      </c>
    </row>
    <row r="148" spans="1:33">
      <c r="A148" s="290"/>
      <c r="B148" s="288" t="str">
        <f t="shared" si="37"/>
        <v/>
      </c>
      <c r="C148" s="290"/>
      <c r="D148" s="288" t="str">
        <f t="shared" si="38"/>
        <v/>
      </c>
      <c r="E148" s="289"/>
      <c r="F148" s="288" t="str">
        <f t="shared" si="39"/>
        <v/>
      </c>
      <c r="G148" s="288" t="str">
        <f t="shared" si="40"/>
        <v/>
      </c>
      <c r="H148" s="128"/>
      <c r="I148" s="128"/>
      <c r="J148" s="128"/>
      <c r="K148" s="286"/>
      <c r="L148" s="287"/>
      <c r="M148" s="287"/>
      <c r="N148" s="286"/>
      <c r="O148" s="291"/>
      <c r="P148" s="285"/>
      <c r="R148" s="283" t="str">
        <f t="shared" si="31"/>
        <v/>
      </c>
      <c r="S148" s="283" t="str">
        <f t="shared" si="32"/>
        <v/>
      </c>
      <c r="T148" s="283" t="str">
        <f t="shared" si="33"/>
        <v/>
      </c>
      <c r="AD148" s="283" t="s">
        <v>2348</v>
      </c>
      <c r="AE148" s="283" t="s">
        <v>2347</v>
      </c>
      <c r="AF148" s="283" t="str">
        <f t="shared" si="36"/>
        <v>A679072</v>
      </c>
      <c r="AG148" s="283" t="str">
        <f>VLOOKUP(AF148,[2]AKT!$C$4:$E$324,3,FALSE)</f>
        <v>0942</v>
      </c>
    </row>
    <row r="149" spans="1:33">
      <c r="A149" s="290"/>
      <c r="B149" s="288" t="str">
        <f t="shared" si="37"/>
        <v/>
      </c>
      <c r="C149" s="290"/>
      <c r="D149" s="288" t="str">
        <f t="shared" si="38"/>
        <v/>
      </c>
      <c r="E149" s="289"/>
      <c r="F149" s="288" t="str">
        <f t="shared" si="39"/>
        <v/>
      </c>
      <c r="G149" s="288" t="str">
        <f t="shared" si="40"/>
        <v/>
      </c>
      <c r="H149" s="128"/>
      <c r="I149" s="128"/>
      <c r="J149" s="128"/>
      <c r="K149" s="286"/>
      <c r="L149" s="287"/>
      <c r="M149" s="287"/>
      <c r="N149" s="286"/>
      <c r="O149" s="291"/>
      <c r="P149" s="285"/>
      <c r="R149" s="283" t="str">
        <f t="shared" si="31"/>
        <v/>
      </c>
      <c r="S149" s="283" t="str">
        <f t="shared" si="32"/>
        <v/>
      </c>
      <c r="T149" s="283" t="str">
        <f t="shared" si="33"/>
        <v/>
      </c>
      <c r="AD149" s="283" t="s">
        <v>2346</v>
      </c>
      <c r="AE149" s="283" t="s">
        <v>2345</v>
      </c>
      <c r="AF149" s="283" t="str">
        <f t="shared" si="36"/>
        <v>A679072</v>
      </c>
      <c r="AG149" s="283" t="str">
        <f>VLOOKUP(AF149,[2]AKT!$C$4:$E$324,3,FALSE)</f>
        <v>0942</v>
      </c>
    </row>
    <row r="150" spans="1:33">
      <c r="A150" s="290"/>
      <c r="B150" s="288" t="str">
        <f t="shared" si="37"/>
        <v/>
      </c>
      <c r="C150" s="290"/>
      <c r="D150" s="288" t="str">
        <f t="shared" si="38"/>
        <v/>
      </c>
      <c r="E150" s="289"/>
      <c r="F150" s="288" t="str">
        <f t="shared" si="39"/>
        <v/>
      </c>
      <c r="G150" s="288" t="str">
        <f t="shared" si="40"/>
        <v/>
      </c>
      <c r="H150" s="128"/>
      <c r="I150" s="128"/>
      <c r="J150" s="128"/>
      <c r="K150" s="286"/>
      <c r="L150" s="287"/>
      <c r="M150" s="287"/>
      <c r="N150" s="286"/>
      <c r="O150" s="291"/>
      <c r="P150" s="285"/>
      <c r="R150" s="283" t="str">
        <f t="shared" si="31"/>
        <v/>
      </c>
      <c r="S150" s="283" t="str">
        <f t="shared" si="32"/>
        <v/>
      </c>
      <c r="T150" s="283" t="str">
        <f t="shared" si="33"/>
        <v/>
      </c>
      <c r="AD150" s="283" t="s">
        <v>2344</v>
      </c>
      <c r="AE150" s="283" t="s">
        <v>2343</v>
      </c>
      <c r="AF150" s="283" t="str">
        <f t="shared" si="36"/>
        <v>A679072</v>
      </c>
      <c r="AG150" s="283" t="str">
        <f>VLOOKUP(AF150,[2]AKT!$C$4:$E$324,3,FALSE)</f>
        <v>0942</v>
      </c>
    </row>
    <row r="151" spans="1:33">
      <c r="A151" s="290"/>
      <c r="B151" s="288" t="str">
        <f t="shared" si="37"/>
        <v/>
      </c>
      <c r="C151" s="290"/>
      <c r="D151" s="288" t="str">
        <f t="shared" si="38"/>
        <v/>
      </c>
      <c r="E151" s="289"/>
      <c r="F151" s="288" t="str">
        <f t="shared" si="39"/>
        <v/>
      </c>
      <c r="G151" s="288" t="str">
        <f t="shared" si="40"/>
        <v/>
      </c>
      <c r="H151" s="128"/>
      <c r="I151" s="128"/>
      <c r="J151" s="128"/>
      <c r="K151" s="286"/>
      <c r="L151" s="287"/>
      <c r="M151" s="287"/>
      <c r="N151" s="286"/>
      <c r="O151" s="291"/>
      <c r="P151" s="285"/>
      <c r="R151" s="283" t="str">
        <f t="shared" si="31"/>
        <v/>
      </c>
      <c r="S151" s="283" t="str">
        <f t="shared" si="32"/>
        <v/>
      </c>
      <c r="T151" s="283" t="str">
        <f t="shared" si="33"/>
        <v/>
      </c>
      <c r="AD151" s="283" t="s">
        <v>2342</v>
      </c>
      <c r="AE151" s="283" t="s">
        <v>2341</v>
      </c>
      <c r="AF151" s="283" t="str">
        <f t="shared" si="36"/>
        <v>A679072</v>
      </c>
      <c r="AG151" s="283" t="str">
        <f>VLOOKUP(AF151,[2]AKT!$C$4:$E$324,3,FALSE)</f>
        <v>0942</v>
      </c>
    </row>
    <row r="152" spans="1:33">
      <c r="A152" s="290"/>
      <c r="B152" s="288" t="str">
        <f t="shared" si="37"/>
        <v/>
      </c>
      <c r="C152" s="290"/>
      <c r="D152" s="288" t="str">
        <f t="shared" si="38"/>
        <v/>
      </c>
      <c r="E152" s="289"/>
      <c r="F152" s="288" t="str">
        <f t="shared" si="39"/>
        <v/>
      </c>
      <c r="G152" s="288" t="str">
        <f t="shared" si="40"/>
        <v/>
      </c>
      <c r="H152" s="128"/>
      <c r="I152" s="128"/>
      <c r="J152" s="128"/>
      <c r="K152" s="286"/>
      <c r="L152" s="287"/>
      <c r="M152" s="287"/>
      <c r="N152" s="286"/>
      <c r="O152" s="291"/>
      <c r="P152" s="285"/>
      <c r="R152" s="283" t="str">
        <f t="shared" si="31"/>
        <v/>
      </c>
      <c r="S152" s="283" t="str">
        <f t="shared" si="32"/>
        <v/>
      </c>
      <c r="T152" s="283" t="str">
        <f t="shared" si="33"/>
        <v/>
      </c>
      <c r="AD152" s="283" t="s">
        <v>2340</v>
      </c>
      <c r="AE152" s="283" t="s">
        <v>2339</v>
      </c>
      <c r="AF152" s="283" t="str">
        <f t="shared" si="36"/>
        <v>A679072</v>
      </c>
      <c r="AG152" s="283" t="str">
        <f>VLOOKUP(AF152,[2]AKT!$C$4:$E$324,3,FALSE)</f>
        <v>0942</v>
      </c>
    </row>
    <row r="153" spans="1:33">
      <c r="A153" s="290"/>
      <c r="B153" s="288" t="str">
        <f t="shared" si="37"/>
        <v/>
      </c>
      <c r="C153" s="290"/>
      <c r="D153" s="288" t="str">
        <f t="shared" si="38"/>
        <v/>
      </c>
      <c r="E153" s="289"/>
      <c r="F153" s="288" t="str">
        <f t="shared" si="39"/>
        <v/>
      </c>
      <c r="G153" s="288" t="str">
        <f t="shared" si="40"/>
        <v/>
      </c>
      <c r="H153" s="128"/>
      <c r="I153" s="128"/>
      <c r="J153" s="128"/>
      <c r="K153" s="286"/>
      <c r="L153" s="287"/>
      <c r="M153" s="287"/>
      <c r="N153" s="286"/>
      <c r="O153" s="291"/>
      <c r="P153" s="285"/>
      <c r="R153" s="283" t="str">
        <f t="shared" si="31"/>
        <v/>
      </c>
      <c r="S153" s="283" t="str">
        <f t="shared" si="32"/>
        <v/>
      </c>
      <c r="T153" s="283" t="str">
        <f t="shared" si="33"/>
        <v/>
      </c>
      <c r="AD153" s="283" t="s">
        <v>2338</v>
      </c>
      <c r="AE153" s="283" t="s">
        <v>2337</v>
      </c>
      <c r="AF153" s="283" t="str">
        <f t="shared" si="36"/>
        <v>A679072</v>
      </c>
      <c r="AG153" s="283" t="str">
        <f>VLOOKUP(AF153,[2]AKT!$C$4:$E$324,3,FALSE)</f>
        <v>0942</v>
      </c>
    </row>
    <row r="154" spans="1:33">
      <c r="A154" s="290"/>
      <c r="B154" s="288" t="str">
        <f t="shared" si="37"/>
        <v/>
      </c>
      <c r="C154" s="290"/>
      <c r="D154" s="288" t="str">
        <f t="shared" si="38"/>
        <v/>
      </c>
      <c r="E154" s="289"/>
      <c r="F154" s="288" t="str">
        <f t="shared" si="39"/>
        <v/>
      </c>
      <c r="G154" s="288" t="str">
        <f t="shared" si="40"/>
        <v/>
      </c>
      <c r="H154" s="128"/>
      <c r="I154" s="128"/>
      <c r="J154" s="128"/>
      <c r="K154" s="286"/>
      <c r="L154" s="287"/>
      <c r="M154" s="287"/>
      <c r="N154" s="286"/>
      <c r="O154" s="291"/>
      <c r="P154" s="285"/>
      <c r="R154" s="283" t="str">
        <f t="shared" si="31"/>
        <v/>
      </c>
      <c r="S154" s="283" t="str">
        <f t="shared" si="32"/>
        <v/>
      </c>
      <c r="T154" s="283" t="str">
        <f t="shared" si="33"/>
        <v/>
      </c>
      <c r="AD154" s="283" t="s">
        <v>2336</v>
      </c>
      <c r="AE154" s="283" t="s">
        <v>2335</v>
      </c>
      <c r="AF154" s="283" t="str">
        <f t="shared" si="36"/>
        <v>A679072</v>
      </c>
      <c r="AG154" s="283" t="str">
        <f>VLOOKUP(AF154,[2]AKT!$C$4:$E$324,3,FALSE)</f>
        <v>0942</v>
      </c>
    </row>
    <row r="155" spans="1:33">
      <c r="A155" s="290"/>
      <c r="B155" s="288" t="str">
        <f t="shared" si="37"/>
        <v/>
      </c>
      <c r="C155" s="290"/>
      <c r="D155" s="288" t="str">
        <f t="shared" si="38"/>
        <v/>
      </c>
      <c r="E155" s="289"/>
      <c r="F155" s="288" t="str">
        <f t="shared" si="39"/>
        <v/>
      </c>
      <c r="G155" s="288" t="str">
        <f t="shared" si="40"/>
        <v/>
      </c>
      <c r="H155" s="128"/>
      <c r="I155" s="128"/>
      <c r="J155" s="128"/>
      <c r="K155" s="286"/>
      <c r="L155" s="287"/>
      <c r="M155" s="287"/>
      <c r="N155" s="286"/>
      <c r="O155" s="291"/>
      <c r="P155" s="285"/>
      <c r="R155" s="283" t="str">
        <f t="shared" si="31"/>
        <v/>
      </c>
      <c r="S155" s="283" t="str">
        <f t="shared" si="32"/>
        <v/>
      </c>
      <c r="T155" s="283" t="str">
        <f t="shared" si="33"/>
        <v/>
      </c>
      <c r="AD155" s="283" t="s">
        <v>2334</v>
      </c>
      <c r="AE155" s="283" t="s">
        <v>2333</v>
      </c>
      <c r="AF155" s="283" t="str">
        <f t="shared" si="36"/>
        <v>A679072</v>
      </c>
      <c r="AG155" s="283" t="str">
        <f>VLOOKUP(AF155,[2]AKT!$C$4:$E$324,3,FALSE)</f>
        <v>0942</v>
      </c>
    </row>
    <row r="156" spans="1:33">
      <c r="A156" s="290"/>
      <c r="B156" s="288" t="str">
        <f t="shared" si="37"/>
        <v/>
      </c>
      <c r="C156" s="290"/>
      <c r="D156" s="288" t="str">
        <f t="shared" si="38"/>
        <v/>
      </c>
      <c r="E156" s="289"/>
      <c r="F156" s="288" t="str">
        <f t="shared" si="39"/>
        <v/>
      </c>
      <c r="G156" s="288" t="str">
        <f t="shared" si="40"/>
        <v/>
      </c>
      <c r="H156" s="128"/>
      <c r="I156" s="128"/>
      <c r="J156" s="128"/>
      <c r="K156" s="286"/>
      <c r="L156" s="287"/>
      <c r="M156" s="287"/>
      <c r="N156" s="286"/>
      <c r="O156" s="291"/>
      <c r="P156" s="285"/>
      <c r="R156" s="283" t="str">
        <f t="shared" si="31"/>
        <v/>
      </c>
      <c r="S156" s="283" t="str">
        <f t="shared" si="32"/>
        <v/>
      </c>
      <c r="T156" s="283" t="str">
        <f t="shared" si="33"/>
        <v/>
      </c>
      <c r="AD156" s="283" t="s">
        <v>2332</v>
      </c>
      <c r="AE156" s="283" t="s">
        <v>2331</v>
      </c>
      <c r="AF156" s="283" t="str">
        <f t="shared" si="36"/>
        <v>A679072</v>
      </c>
      <c r="AG156" s="283" t="str">
        <f>VLOOKUP(AF156,[2]AKT!$C$4:$E$324,3,FALSE)</f>
        <v>0942</v>
      </c>
    </row>
    <row r="157" spans="1:33">
      <c r="A157" s="290"/>
      <c r="B157" s="288" t="str">
        <f t="shared" si="37"/>
        <v/>
      </c>
      <c r="C157" s="290"/>
      <c r="D157" s="288" t="str">
        <f t="shared" si="38"/>
        <v/>
      </c>
      <c r="E157" s="289"/>
      <c r="F157" s="288" t="str">
        <f t="shared" si="39"/>
        <v/>
      </c>
      <c r="G157" s="288" t="str">
        <f t="shared" si="40"/>
        <v/>
      </c>
      <c r="H157" s="128"/>
      <c r="I157" s="128"/>
      <c r="J157" s="128"/>
      <c r="K157" s="286"/>
      <c r="L157" s="287"/>
      <c r="M157" s="287"/>
      <c r="N157" s="286"/>
      <c r="O157" s="291"/>
      <c r="P157" s="285"/>
      <c r="R157" s="283" t="str">
        <f t="shared" si="31"/>
        <v/>
      </c>
      <c r="S157" s="283" t="str">
        <f t="shared" si="32"/>
        <v/>
      </c>
      <c r="T157" s="283" t="str">
        <f t="shared" si="33"/>
        <v/>
      </c>
      <c r="AD157" s="283" t="s">
        <v>2330</v>
      </c>
      <c r="AE157" s="283" t="s">
        <v>2329</v>
      </c>
      <c r="AF157" s="283" t="str">
        <f t="shared" si="36"/>
        <v>A679072</v>
      </c>
      <c r="AG157" s="283" t="str">
        <f>VLOOKUP(AF157,[2]AKT!$C$4:$E$324,3,FALSE)</f>
        <v>0942</v>
      </c>
    </row>
    <row r="158" spans="1:33">
      <c r="A158" s="290"/>
      <c r="B158" s="288" t="str">
        <f t="shared" si="37"/>
        <v/>
      </c>
      <c r="C158" s="290"/>
      <c r="D158" s="288" t="str">
        <f t="shared" si="38"/>
        <v/>
      </c>
      <c r="E158" s="289"/>
      <c r="F158" s="288" t="str">
        <f t="shared" si="39"/>
        <v/>
      </c>
      <c r="G158" s="288" t="str">
        <f t="shared" si="40"/>
        <v/>
      </c>
      <c r="H158" s="128"/>
      <c r="I158" s="128"/>
      <c r="J158" s="128"/>
      <c r="K158" s="286"/>
      <c r="L158" s="287"/>
      <c r="M158" s="287"/>
      <c r="N158" s="286"/>
      <c r="O158" s="291"/>
      <c r="P158" s="285"/>
      <c r="R158" s="283" t="str">
        <f t="shared" si="31"/>
        <v/>
      </c>
      <c r="S158" s="283" t="str">
        <f t="shared" si="32"/>
        <v/>
      </c>
      <c r="T158" s="283" t="str">
        <f t="shared" si="33"/>
        <v/>
      </c>
      <c r="AD158" s="283" t="s">
        <v>2328</v>
      </c>
      <c r="AE158" s="283" t="s">
        <v>2327</v>
      </c>
      <c r="AF158" s="283" t="str">
        <f t="shared" si="36"/>
        <v>A679072</v>
      </c>
      <c r="AG158" s="283" t="str">
        <f>VLOOKUP(AF158,[2]AKT!$C$4:$E$324,3,FALSE)</f>
        <v>0942</v>
      </c>
    </row>
    <row r="159" spans="1:33">
      <c r="A159" s="290"/>
      <c r="B159" s="288" t="str">
        <f t="shared" si="37"/>
        <v/>
      </c>
      <c r="C159" s="290"/>
      <c r="D159" s="288" t="str">
        <f t="shared" si="38"/>
        <v/>
      </c>
      <c r="E159" s="289"/>
      <c r="F159" s="288" t="str">
        <f t="shared" si="39"/>
        <v/>
      </c>
      <c r="G159" s="288" t="str">
        <f t="shared" si="40"/>
        <v/>
      </c>
      <c r="H159" s="128"/>
      <c r="I159" s="128"/>
      <c r="J159" s="128"/>
      <c r="K159" s="286"/>
      <c r="L159" s="287"/>
      <c r="M159" s="287"/>
      <c r="N159" s="286"/>
      <c r="O159" s="291"/>
      <c r="P159" s="285"/>
      <c r="R159" s="283" t="str">
        <f t="shared" si="31"/>
        <v/>
      </c>
      <c r="S159" s="283" t="str">
        <f t="shared" si="32"/>
        <v/>
      </c>
      <c r="T159" s="283" t="str">
        <f t="shared" si="33"/>
        <v/>
      </c>
      <c r="AD159" s="283" t="s">
        <v>2326</v>
      </c>
      <c r="AE159" s="283" t="s">
        <v>2325</v>
      </c>
      <c r="AF159" s="283" t="str">
        <f t="shared" si="36"/>
        <v>A679072</v>
      </c>
      <c r="AG159" s="283" t="str">
        <f>VLOOKUP(AF159,[2]AKT!$C$4:$E$324,3,FALSE)</f>
        <v>0942</v>
      </c>
    </row>
    <row r="160" spans="1:33">
      <c r="A160" s="290"/>
      <c r="B160" s="288" t="str">
        <f t="shared" si="37"/>
        <v/>
      </c>
      <c r="C160" s="290"/>
      <c r="D160" s="288" t="str">
        <f t="shared" si="38"/>
        <v/>
      </c>
      <c r="E160" s="289"/>
      <c r="F160" s="288" t="str">
        <f t="shared" si="39"/>
        <v/>
      </c>
      <c r="G160" s="288" t="str">
        <f t="shared" si="40"/>
        <v/>
      </c>
      <c r="H160" s="128"/>
      <c r="I160" s="128"/>
      <c r="J160" s="128"/>
      <c r="K160" s="286"/>
      <c r="L160" s="287"/>
      <c r="M160" s="287"/>
      <c r="N160" s="286"/>
      <c r="O160" s="291"/>
      <c r="P160" s="285"/>
      <c r="R160" s="283" t="str">
        <f t="shared" si="31"/>
        <v/>
      </c>
      <c r="S160" s="283" t="str">
        <f t="shared" si="32"/>
        <v/>
      </c>
      <c r="T160" s="283" t="str">
        <f t="shared" si="33"/>
        <v/>
      </c>
      <c r="AD160" s="283" t="s">
        <v>2324</v>
      </c>
      <c r="AE160" s="283" t="s">
        <v>2323</v>
      </c>
      <c r="AF160" s="283" t="str">
        <f t="shared" si="36"/>
        <v>A679072</v>
      </c>
      <c r="AG160" s="283" t="str">
        <f>VLOOKUP(AF160,[2]AKT!$C$4:$E$324,3,FALSE)</f>
        <v>0942</v>
      </c>
    </row>
    <row r="161" spans="1:33">
      <c r="A161" s="290"/>
      <c r="B161" s="288" t="str">
        <f t="shared" si="37"/>
        <v/>
      </c>
      <c r="C161" s="290"/>
      <c r="D161" s="288" t="str">
        <f t="shared" si="38"/>
        <v/>
      </c>
      <c r="E161" s="289"/>
      <c r="F161" s="288" t="str">
        <f t="shared" si="39"/>
        <v/>
      </c>
      <c r="G161" s="288" t="str">
        <f t="shared" si="40"/>
        <v/>
      </c>
      <c r="H161" s="128"/>
      <c r="I161" s="128"/>
      <c r="J161" s="128"/>
      <c r="K161" s="286"/>
      <c r="L161" s="287"/>
      <c r="M161" s="287"/>
      <c r="N161" s="286"/>
      <c r="O161" s="291"/>
      <c r="P161" s="285"/>
      <c r="R161" s="283" t="str">
        <f t="shared" si="31"/>
        <v/>
      </c>
      <c r="S161" s="283" t="str">
        <f t="shared" si="32"/>
        <v/>
      </c>
      <c r="T161" s="283" t="str">
        <f t="shared" si="33"/>
        <v/>
      </c>
      <c r="AD161" s="283" t="s">
        <v>2322</v>
      </c>
      <c r="AE161" s="283" t="s">
        <v>2321</v>
      </c>
      <c r="AF161" s="283" t="str">
        <f t="shared" si="36"/>
        <v>A679072</v>
      </c>
      <c r="AG161" s="283" t="str">
        <f>VLOOKUP(AF161,[2]AKT!$C$4:$E$324,3,FALSE)</f>
        <v>0942</v>
      </c>
    </row>
    <row r="162" spans="1:33">
      <c r="A162" s="290"/>
      <c r="B162" s="288" t="str">
        <f t="shared" si="37"/>
        <v/>
      </c>
      <c r="C162" s="290"/>
      <c r="D162" s="288" t="str">
        <f t="shared" si="38"/>
        <v/>
      </c>
      <c r="E162" s="289"/>
      <c r="F162" s="288" t="str">
        <f t="shared" si="39"/>
        <v/>
      </c>
      <c r="G162" s="288" t="str">
        <f t="shared" si="40"/>
        <v/>
      </c>
      <c r="H162" s="128"/>
      <c r="I162" s="128"/>
      <c r="J162" s="128"/>
      <c r="K162" s="286"/>
      <c r="L162" s="287"/>
      <c r="M162" s="287"/>
      <c r="N162" s="286"/>
      <c r="O162" s="291"/>
      <c r="P162" s="285"/>
      <c r="R162" s="283" t="str">
        <f t="shared" si="31"/>
        <v/>
      </c>
      <c r="S162" s="283" t="str">
        <f t="shared" si="32"/>
        <v/>
      </c>
      <c r="T162" s="283" t="str">
        <f t="shared" si="33"/>
        <v/>
      </c>
      <c r="AD162" s="283" t="s">
        <v>2320</v>
      </c>
      <c r="AE162" s="283" t="s">
        <v>2319</v>
      </c>
      <c r="AF162" s="283" t="str">
        <f t="shared" si="36"/>
        <v>A679072</v>
      </c>
      <c r="AG162" s="283" t="str">
        <f>VLOOKUP(AF162,[2]AKT!$C$4:$E$324,3,FALSE)</f>
        <v>0942</v>
      </c>
    </row>
    <row r="163" spans="1:33">
      <c r="A163" s="290"/>
      <c r="B163" s="288" t="str">
        <f t="shared" si="37"/>
        <v/>
      </c>
      <c r="C163" s="290"/>
      <c r="D163" s="288" t="str">
        <f t="shared" si="38"/>
        <v/>
      </c>
      <c r="E163" s="289"/>
      <c r="F163" s="288" t="str">
        <f t="shared" si="39"/>
        <v/>
      </c>
      <c r="G163" s="288" t="str">
        <f t="shared" si="40"/>
        <v/>
      </c>
      <c r="H163" s="128"/>
      <c r="I163" s="128"/>
      <c r="J163" s="128"/>
      <c r="K163" s="286"/>
      <c r="L163" s="287"/>
      <c r="M163" s="287"/>
      <c r="N163" s="286"/>
      <c r="O163" s="291"/>
      <c r="P163" s="285"/>
      <c r="R163" s="283" t="str">
        <f t="shared" si="31"/>
        <v/>
      </c>
      <c r="S163" s="283" t="str">
        <f t="shared" si="32"/>
        <v/>
      </c>
      <c r="T163" s="283" t="str">
        <f t="shared" si="33"/>
        <v/>
      </c>
      <c r="AD163" s="283" t="s">
        <v>2318</v>
      </c>
      <c r="AE163" s="283" t="s">
        <v>2317</v>
      </c>
      <c r="AF163" s="283" t="str">
        <f t="shared" si="36"/>
        <v>A679072</v>
      </c>
      <c r="AG163" s="283" t="str">
        <f>VLOOKUP(AF163,[2]AKT!$C$4:$E$324,3,FALSE)</f>
        <v>0942</v>
      </c>
    </row>
    <row r="164" spans="1:33">
      <c r="A164" s="290"/>
      <c r="B164" s="288" t="str">
        <f t="shared" si="37"/>
        <v/>
      </c>
      <c r="C164" s="290"/>
      <c r="D164" s="288" t="str">
        <f t="shared" si="38"/>
        <v/>
      </c>
      <c r="E164" s="289"/>
      <c r="F164" s="288" t="str">
        <f t="shared" si="39"/>
        <v/>
      </c>
      <c r="G164" s="288" t="str">
        <f t="shared" si="40"/>
        <v/>
      </c>
      <c r="H164" s="128"/>
      <c r="I164" s="128"/>
      <c r="J164" s="128"/>
      <c r="K164" s="286"/>
      <c r="L164" s="287"/>
      <c r="M164" s="287"/>
      <c r="N164" s="286"/>
      <c r="O164" s="291"/>
      <c r="P164" s="285"/>
      <c r="R164" s="283" t="str">
        <f t="shared" si="31"/>
        <v/>
      </c>
      <c r="S164" s="283" t="str">
        <f t="shared" si="32"/>
        <v/>
      </c>
      <c r="T164" s="283" t="str">
        <f t="shared" si="33"/>
        <v/>
      </c>
      <c r="AD164" s="283" t="s">
        <v>2316</v>
      </c>
      <c r="AE164" s="283" t="s">
        <v>2315</v>
      </c>
      <c r="AF164" s="283" t="str">
        <f t="shared" si="36"/>
        <v>A679072</v>
      </c>
      <c r="AG164" s="283" t="str">
        <f>VLOOKUP(AF164,[2]AKT!$C$4:$E$324,3,FALSE)</f>
        <v>0942</v>
      </c>
    </row>
    <row r="165" spans="1:33">
      <c r="A165" s="290"/>
      <c r="B165" s="288" t="str">
        <f t="shared" si="37"/>
        <v/>
      </c>
      <c r="C165" s="290"/>
      <c r="D165" s="288" t="str">
        <f t="shared" si="38"/>
        <v/>
      </c>
      <c r="E165" s="289"/>
      <c r="F165" s="288" t="str">
        <f t="shared" si="39"/>
        <v/>
      </c>
      <c r="G165" s="288" t="str">
        <f t="shared" si="40"/>
        <v/>
      </c>
      <c r="H165" s="128"/>
      <c r="I165" s="128"/>
      <c r="J165" s="128"/>
      <c r="K165" s="286"/>
      <c r="L165" s="287"/>
      <c r="M165" s="287"/>
      <c r="N165" s="286"/>
      <c r="O165" s="291"/>
      <c r="P165" s="285"/>
      <c r="R165" s="283" t="str">
        <f t="shared" si="31"/>
        <v/>
      </c>
      <c r="S165" s="283" t="str">
        <f t="shared" si="32"/>
        <v/>
      </c>
      <c r="T165" s="283" t="str">
        <f t="shared" si="33"/>
        <v/>
      </c>
      <c r="AD165" s="283" t="s">
        <v>2314</v>
      </c>
      <c r="AE165" s="283" t="s">
        <v>2313</v>
      </c>
      <c r="AF165" s="283" t="str">
        <f t="shared" si="36"/>
        <v>A679072</v>
      </c>
      <c r="AG165" s="283" t="str">
        <f>VLOOKUP(AF165,[2]AKT!$C$4:$E$324,3,FALSE)</f>
        <v>0942</v>
      </c>
    </row>
    <row r="166" spans="1:33">
      <c r="A166" s="290"/>
      <c r="B166" s="288" t="str">
        <f t="shared" si="37"/>
        <v/>
      </c>
      <c r="C166" s="290"/>
      <c r="D166" s="288" t="str">
        <f t="shared" si="38"/>
        <v/>
      </c>
      <c r="E166" s="289"/>
      <c r="F166" s="288" t="str">
        <f t="shared" si="39"/>
        <v/>
      </c>
      <c r="G166" s="288" t="str">
        <f t="shared" si="40"/>
        <v/>
      </c>
      <c r="H166" s="128"/>
      <c r="I166" s="128"/>
      <c r="J166" s="128"/>
      <c r="K166" s="286"/>
      <c r="L166" s="287"/>
      <c r="M166" s="287"/>
      <c r="N166" s="286"/>
      <c r="O166" s="291"/>
      <c r="P166" s="285"/>
      <c r="R166" s="283" t="str">
        <f t="shared" si="31"/>
        <v/>
      </c>
      <c r="S166" s="283" t="str">
        <f t="shared" si="32"/>
        <v/>
      </c>
      <c r="T166" s="283" t="str">
        <f t="shared" si="33"/>
        <v/>
      </c>
      <c r="AD166" s="283" t="s">
        <v>2312</v>
      </c>
      <c r="AE166" s="283" t="s">
        <v>2311</v>
      </c>
      <c r="AF166" s="283" t="str">
        <f t="shared" si="36"/>
        <v>A679072</v>
      </c>
      <c r="AG166" s="283" t="str">
        <f>VLOOKUP(AF166,[2]AKT!$C$4:$E$324,3,FALSE)</f>
        <v>0942</v>
      </c>
    </row>
    <row r="167" spans="1:33">
      <c r="A167" s="290"/>
      <c r="B167" s="288" t="str">
        <f t="shared" si="37"/>
        <v/>
      </c>
      <c r="C167" s="290"/>
      <c r="D167" s="288" t="str">
        <f t="shared" si="38"/>
        <v/>
      </c>
      <c r="E167" s="289"/>
      <c r="F167" s="288" t="str">
        <f t="shared" si="39"/>
        <v/>
      </c>
      <c r="G167" s="288" t="str">
        <f t="shared" si="40"/>
        <v/>
      </c>
      <c r="H167" s="128"/>
      <c r="I167" s="128"/>
      <c r="J167" s="128"/>
      <c r="K167" s="286"/>
      <c r="L167" s="287"/>
      <c r="M167" s="287"/>
      <c r="N167" s="286"/>
      <c r="O167" s="291"/>
      <c r="P167" s="285"/>
      <c r="R167" s="283" t="str">
        <f t="shared" si="31"/>
        <v/>
      </c>
      <c r="S167" s="283" t="str">
        <f t="shared" si="32"/>
        <v/>
      </c>
      <c r="T167" s="283" t="str">
        <f t="shared" si="33"/>
        <v/>
      </c>
      <c r="AD167" s="283" t="s">
        <v>2310</v>
      </c>
      <c r="AE167" s="283" t="s">
        <v>2309</v>
      </c>
      <c r="AF167" s="283" t="str">
        <f t="shared" si="36"/>
        <v>A679072</v>
      </c>
      <c r="AG167" s="283" t="str">
        <f>VLOOKUP(AF167,[2]AKT!$C$4:$E$324,3,FALSE)</f>
        <v>0942</v>
      </c>
    </row>
    <row r="168" spans="1:33">
      <c r="A168" s="290"/>
      <c r="B168" s="288" t="str">
        <f t="shared" si="37"/>
        <v/>
      </c>
      <c r="C168" s="290"/>
      <c r="D168" s="288" t="str">
        <f t="shared" si="38"/>
        <v/>
      </c>
      <c r="E168" s="289"/>
      <c r="F168" s="288" t="str">
        <f t="shared" si="39"/>
        <v/>
      </c>
      <c r="G168" s="288" t="str">
        <f t="shared" si="40"/>
        <v/>
      </c>
      <c r="H168" s="128"/>
      <c r="I168" s="128"/>
      <c r="J168" s="128"/>
      <c r="K168" s="286"/>
      <c r="L168" s="287"/>
      <c r="M168" s="287"/>
      <c r="N168" s="286"/>
      <c r="O168" s="291"/>
      <c r="P168" s="285"/>
      <c r="R168" s="283" t="str">
        <f t="shared" si="31"/>
        <v/>
      </c>
      <c r="S168" s="283" t="str">
        <f t="shared" si="32"/>
        <v/>
      </c>
      <c r="T168" s="283" t="str">
        <f t="shared" si="33"/>
        <v/>
      </c>
      <c r="AD168" s="283" t="s">
        <v>2308</v>
      </c>
      <c r="AE168" s="283" t="s">
        <v>2307</v>
      </c>
      <c r="AF168" s="283" t="str">
        <f t="shared" si="36"/>
        <v>A679072</v>
      </c>
      <c r="AG168" s="283" t="str">
        <f>VLOOKUP(AF168,[2]AKT!$C$4:$E$324,3,FALSE)</f>
        <v>0942</v>
      </c>
    </row>
    <row r="169" spans="1:33">
      <c r="A169" s="290"/>
      <c r="B169" s="288" t="str">
        <f t="shared" si="37"/>
        <v/>
      </c>
      <c r="C169" s="290"/>
      <c r="D169" s="288" t="str">
        <f t="shared" si="38"/>
        <v/>
      </c>
      <c r="E169" s="289"/>
      <c r="F169" s="288" t="str">
        <f t="shared" si="39"/>
        <v/>
      </c>
      <c r="G169" s="288" t="str">
        <f t="shared" si="40"/>
        <v/>
      </c>
      <c r="H169" s="128"/>
      <c r="I169" s="128"/>
      <c r="J169" s="128"/>
      <c r="K169" s="286"/>
      <c r="L169" s="287"/>
      <c r="M169" s="287"/>
      <c r="N169" s="286"/>
      <c r="O169" s="291"/>
      <c r="P169" s="285"/>
      <c r="R169" s="283" t="str">
        <f t="shared" si="31"/>
        <v/>
      </c>
      <c r="S169" s="283" t="str">
        <f t="shared" si="32"/>
        <v/>
      </c>
      <c r="T169" s="283" t="str">
        <f t="shared" si="33"/>
        <v/>
      </c>
      <c r="AD169" s="283" t="s">
        <v>2306</v>
      </c>
      <c r="AE169" s="283" t="s">
        <v>2305</v>
      </c>
      <c r="AF169" s="283" t="str">
        <f t="shared" si="36"/>
        <v>A679072</v>
      </c>
      <c r="AG169" s="283" t="str">
        <f>VLOOKUP(AF169,[2]AKT!$C$4:$E$324,3,FALSE)</f>
        <v>0942</v>
      </c>
    </row>
    <row r="170" spans="1:33">
      <c r="A170" s="290"/>
      <c r="B170" s="288" t="str">
        <f t="shared" si="37"/>
        <v/>
      </c>
      <c r="C170" s="290"/>
      <c r="D170" s="288" t="str">
        <f t="shared" si="38"/>
        <v/>
      </c>
      <c r="E170" s="289"/>
      <c r="F170" s="288" t="str">
        <f t="shared" si="39"/>
        <v/>
      </c>
      <c r="G170" s="288" t="str">
        <f t="shared" si="40"/>
        <v/>
      </c>
      <c r="H170" s="128"/>
      <c r="I170" s="128"/>
      <c r="J170" s="128"/>
      <c r="K170" s="286"/>
      <c r="L170" s="287"/>
      <c r="M170" s="287"/>
      <c r="N170" s="286"/>
      <c r="O170" s="291"/>
      <c r="P170" s="285"/>
      <c r="R170" s="283" t="str">
        <f t="shared" si="31"/>
        <v/>
      </c>
      <c r="S170" s="283" t="str">
        <f t="shared" si="32"/>
        <v/>
      </c>
      <c r="T170" s="283" t="str">
        <f t="shared" si="33"/>
        <v/>
      </c>
      <c r="AD170" s="283" t="s">
        <v>2304</v>
      </c>
      <c r="AE170" s="283" t="s">
        <v>2303</v>
      </c>
      <c r="AF170" s="283" t="str">
        <f t="shared" si="36"/>
        <v>A679072</v>
      </c>
      <c r="AG170" s="283" t="str">
        <f>VLOOKUP(AF170,[2]AKT!$C$4:$E$324,3,FALSE)</f>
        <v>0942</v>
      </c>
    </row>
    <row r="171" spans="1:33">
      <c r="A171" s="290"/>
      <c r="B171" s="288" t="str">
        <f t="shared" si="37"/>
        <v/>
      </c>
      <c r="C171" s="290"/>
      <c r="D171" s="288" t="str">
        <f t="shared" si="38"/>
        <v/>
      </c>
      <c r="E171" s="289"/>
      <c r="F171" s="288" t="str">
        <f t="shared" si="39"/>
        <v/>
      </c>
      <c r="G171" s="288" t="str">
        <f t="shared" si="40"/>
        <v/>
      </c>
      <c r="H171" s="128"/>
      <c r="I171" s="128"/>
      <c r="J171" s="128"/>
      <c r="K171" s="286"/>
      <c r="L171" s="287"/>
      <c r="M171" s="287"/>
      <c r="N171" s="286"/>
      <c r="O171" s="291"/>
      <c r="P171" s="285"/>
      <c r="R171" s="283" t="str">
        <f t="shared" si="31"/>
        <v/>
      </c>
      <c r="S171" s="283" t="str">
        <f t="shared" si="32"/>
        <v/>
      </c>
      <c r="T171" s="283" t="str">
        <f t="shared" si="33"/>
        <v/>
      </c>
      <c r="AD171" s="283" t="s">
        <v>2302</v>
      </c>
      <c r="AE171" s="283" t="s">
        <v>2301</v>
      </c>
      <c r="AF171" s="283" t="str">
        <f t="shared" si="36"/>
        <v>A679072</v>
      </c>
      <c r="AG171" s="283" t="str">
        <f>VLOOKUP(AF171,[2]AKT!$C$4:$E$324,3,FALSE)</f>
        <v>0942</v>
      </c>
    </row>
    <row r="172" spans="1:33">
      <c r="A172" s="290"/>
      <c r="B172" s="288" t="str">
        <f t="shared" si="37"/>
        <v/>
      </c>
      <c r="C172" s="290"/>
      <c r="D172" s="288" t="str">
        <f t="shared" si="38"/>
        <v/>
      </c>
      <c r="E172" s="289"/>
      <c r="F172" s="288" t="str">
        <f t="shared" si="39"/>
        <v/>
      </c>
      <c r="G172" s="288" t="str">
        <f t="shared" si="40"/>
        <v/>
      </c>
      <c r="H172" s="128"/>
      <c r="I172" s="128"/>
      <c r="J172" s="128"/>
      <c r="K172" s="286"/>
      <c r="L172" s="287"/>
      <c r="M172" s="287"/>
      <c r="N172" s="286"/>
      <c r="O172" s="291"/>
      <c r="P172" s="285"/>
      <c r="R172" s="283" t="str">
        <f t="shared" si="31"/>
        <v/>
      </c>
      <c r="S172" s="283" t="str">
        <f t="shared" si="32"/>
        <v/>
      </c>
      <c r="T172" s="283" t="str">
        <f t="shared" si="33"/>
        <v/>
      </c>
      <c r="AD172" s="283" t="s">
        <v>2300</v>
      </c>
      <c r="AE172" s="283" t="s">
        <v>2299</v>
      </c>
      <c r="AF172" s="283" t="str">
        <f t="shared" si="36"/>
        <v>A679072</v>
      </c>
      <c r="AG172" s="283" t="str">
        <f>VLOOKUP(AF172,[2]AKT!$C$4:$E$324,3,FALSE)</f>
        <v>0942</v>
      </c>
    </row>
    <row r="173" spans="1:33">
      <c r="A173" s="290"/>
      <c r="B173" s="288" t="str">
        <f t="shared" si="37"/>
        <v/>
      </c>
      <c r="C173" s="290"/>
      <c r="D173" s="288" t="str">
        <f t="shared" si="38"/>
        <v/>
      </c>
      <c r="E173" s="289"/>
      <c r="F173" s="288" t="str">
        <f t="shared" si="39"/>
        <v/>
      </c>
      <c r="G173" s="288" t="str">
        <f t="shared" si="40"/>
        <v/>
      </c>
      <c r="H173" s="128"/>
      <c r="I173" s="128"/>
      <c r="J173" s="128"/>
      <c r="K173" s="286"/>
      <c r="L173" s="287"/>
      <c r="M173" s="287"/>
      <c r="N173" s="286"/>
      <c r="O173" s="291"/>
      <c r="P173" s="285"/>
      <c r="R173" s="283" t="str">
        <f t="shared" si="31"/>
        <v/>
      </c>
      <c r="S173" s="283" t="str">
        <f t="shared" si="32"/>
        <v/>
      </c>
      <c r="T173" s="283" t="str">
        <f t="shared" si="33"/>
        <v/>
      </c>
      <c r="AD173" s="283" t="s">
        <v>2298</v>
      </c>
      <c r="AE173" s="283" t="s">
        <v>2297</v>
      </c>
      <c r="AF173" s="283" t="str">
        <f t="shared" si="36"/>
        <v>A679072</v>
      </c>
      <c r="AG173" s="283" t="str">
        <f>VLOOKUP(AF173,[2]AKT!$C$4:$E$324,3,FALSE)</f>
        <v>0942</v>
      </c>
    </row>
    <row r="174" spans="1:33">
      <c r="A174" s="290"/>
      <c r="B174" s="288" t="str">
        <f t="shared" si="37"/>
        <v/>
      </c>
      <c r="C174" s="290"/>
      <c r="D174" s="288" t="str">
        <f t="shared" si="38"/>
        <v/>
      </c>
      <c r="E174" s="289"/>
      <c r="F174" s="288" t="str">
        <f t="shared" si="39"/>
        <v/>
      </c>
      <c r="G174" s="288" t="str">
        <f t="shared" si="40"/>
        <v/>
      </c>
      <c r="H174" s="128"/>
      <c r="I174" s="128"/>
      <c r="J174" s="128"/>
      <c r="K174" s="286"/>
      <c r="L174" s="287"/>
      <c r="M174" s="287"/>
      <c r="N174" s="286"/>
      <c r="O174" s="291"/>
      <c r="P174" s="285"/>
      <c r="R174" s="283" t="str">
        <f t="shared" si="31"/>
        <v/>
      </c>
      <c r="S174" s="283" t="str">
        <f t="shared" si="32"/>
        <v/>
      </c>
      <c r="T174" s="283" t="str">
        <f t="shared" si="33"/>
        <v/>
      </c>
      <c r="AD174" s="283" t="s">
        <v>2296</v>
      </c>
      <c r="AE174" s="283" t="s">
        <v>2295</v>
      </c>
      <c r="AF174" s="283" t="str">
        <f t="shared" si="36"/>
        <v>A679072</v>
      </c>
      <c r="AG174" s="283" t="str">
        <f>VLOOKUP(AF174,[2]AKT!$C$4:$E$324,3,FALSE)</f>
        <v>0942</v>
      </c>
    </row>
    <row r="175" spans="1:33">
      <c r="A175" s="290"/>
      <c r="B175" s="288" t="str">
        <f t="shared" si="37"/>
        <v/>
      </c>
      <c r="C175" s="290"/>
      <c r="D175" s="288" t="str">
        <f t="shared" si="38"/>
        <v/>
      </c>
      <c r="E175" s="289"/>
      <c r="F175" s="288" t="str">
        <f t="shared" si="39"/>
        <v/>
      </c>
      <c r="G175" s="288" t="str">
        <f t="shared" si="40"/>
        <v/>
      </c>
      <c r="H175" s="128"/>
      <c r="I175" s="128"/>
      <c r="J175" s="128"/>
      <c r="K175" s="286"/>
      <c r="L175" s="287"/>
      <c r="M175" s="287"/>
      <c r="N175" s="286"/>
      <c r="O175" s="291"/>
      <c r="P175" s="285"/>
      <c r="R175" s="283" t="str">
        <f t="shared" si="31"/>
        <v/>
      </c>
      <c r="S175" s="283" t="str">
        <f t="shared" si="32"/>
        <v/>
      </c>
      <c r="T175" s="283" t="str">
        <f t="shared" si="33"/>
        <v/>
      </c>
      <c r="AD175" s="283" t="s">
        <v>2294</v>
      </c>
      <c r="AE175" s="283" t="s">
        <v>2293</v>
      </c>
      <c r="AF175" s="283" t="str">
        <f t="shared" si="36"/>
        <v>A679072</v>
      </c>
      <c r="AG175" s="283" t="str">
        <f>VLOOKUP(AF175,[2]AKT!$C$4:$E$324,3,FALSE)</f>
        <v>0942</v>
      </c>
    </row>
    <row r="176" spans="1:33">
      <c r="A176" s="290"/>
      <c r="B176" s="288" t="str">
        <f t="shared" si="37"/>
        <v/>
      </c>
      <c r="C176" s="290"/>
      <c r="D176" s="288" t="str">
        <f t="shared" si="38"/>
        <v/>
      </c>
      <c r="E176" s="289"/>
      <c r="F176" s="288" t="str">
        <f t="shared" si="39"/>
        <v/>
      </c>
      <c r="G176" s="288" t="str">
        <f t="shared" si="40"/>
        <v/>
      </c>
      <c r="H176" s="128"/>
      <c r="I176" s="128"/>
      <c r="J176" s="128"/>
      <c r="K176" s="286"/>
      <c r="L176" s="287"/>
      <c r="M176" s="287"/>
      <c r="N176" s="286"/>
      <c r="O176" s="291"/>
      <c r="P176" s="285"/>
      <c r="R176" s="283" t="str">
        <f t="shared" si="31"/>
        <v/>
      </c>
      <c r="S176" s="283" t="str">
        <f t="shared" si="32"/>
        <v/>
      </c>
      <c r="T176" s="283" t="str">
        <f t="shared" si="33"/>
        <v/>
      </c>
      <c r="AD176" s="283" t="s">
        <v>2292</v>
      </c>
      <c r="AE176" s="283" t="s">
        <v>2291</v>
      </c>
      <c r="AF176" s="283" t="str">
        <f t="shared" si="36"/>
        <v>A679072</v>
      </c>
      <c r="AG176" s="283" t="str">
        <f>VLOOKUP(AF176,[2]AKT!$C$4:$E$324,3,FALSE)</f>
        <v>0942</v>
      </c>
    </row>
    <row r="177" spans="1:33">
      <c r="A177" s="290"/>
      <c r="B177" s="288" t="str">
        <f t="shared" si="37"/>
        <v/>
      </c>
      <c r="C177" s="290"/>
      <c r="D177" s="288" t="str">
        <f t="shared" si="38"/>
        <v/>
      </c>
      <c r="E177" s="289"/>
      <c r="F177" s="288" t="str">
        <f t="shared" si="39"/>
        <v/>
      </c>
      <c r="G177" s="288" t="str">
        <f t="shared" si="40"/>
        <v/>
      </c>
      <c r="H177" s="128"/>
      <c r="I177" s="128"/>
      <c r="J177" s="128"/>
      <c r="K177" s="286"/>
      <c r="L177" s="287"/>
      <c r="M177" s="287"/>
      <c r="N177" s="286"/>
      <c r="O177" s="291"/>
      <c r="P177" s="285"/>
      <c r="R177" s="283" t="str">
        <f t="shared" si="31"/>
        <v/>
      </c>
      <c r="S177" s="283" t="str">
        <f t="shared" si="32"/>
        <v/>
      </c>
      <c r="T177" s="283" t="str">
        <f t="shared" si="33"/>
        <v/>
      </c>
      <c r="AD177" s="283" t="s">
        <v>2290</v>
      </c>
      <c r="AE177" s="283" t="s">
        <v>2289</v>
      </c>
      <c r="AF177" s="283" t="str">
        <f t="shared" si="36"/>
        <v>A679072</v>
      </c>
      <c r="AG177" s="283" t="str">
        <f>VLOOKUP(AF177,[2]AKT!$C$4:$E$324,3,FALSE)</f>
        <v>0942</v>
      </c>
    </row>
    <row r="178" spans="1:33">
      <c r="A178" s="290"/>
      <c r="B178" s="288" t="str">
        <f t="shared" si="37"/>
        <v/>
      </c>
      <c r="C178" s="290"/>
      <c r="D178" s="288" t="str">
        <f t="shared" si="38"/>
        <v/>
      </c>
      <c r="E178" s="289"/>
      <c r="F178" s="288" t="str">
        <f t="shared" si="39"/>
        <v/>
      </c>
      <c r="G178" s="288" t="str">
        <f t="shared" si="40"/>
        <v/>
      </c>
      <c r="H178" s="128"/>
      <c r="I178" s="128"/>
      <c r="J178" s="128"/>
      <c r="K178" s="286"/>
      <c r="L178" s="287"/>
      <c r="M178" s="287"/>
      <c r="N178" s="286"/>
      <c r="O178" s="291"/>
      <c r="P178" s="285"/>
      <c r="R178" s="283" t="str">
        <f t="shared" si="31"/>
        <v/>
      </c>
      <c r="S178" s="283" t="str">
        <f t="shared" si="32"/>
        <v/>
      </c>
      <c r="T178" s="283" t="str">
        <f t="shared" si="33"/>
        <v/>
      </c>
      <c r="AD178" s="283" t="s">
        <v>2288</v>
      </c>
      <c r="AE178" s="283" t="s">
        <v>2287</v>
      </c>
      <c r="AF178" s="283" t="str">
        <f t="shared" si="36"/>
        <v>A679072</v>
      </c>
      <c r="AG178" s="283" t="str">
        <f>VLOOKUP(AF178,[2]AKT!$C$4:$E$324,3,FALSE)</f>
        <v>0942</v>
      </c>
    </row>
    <row r="179" spans="1:33">
      <c r="A179" s="290"/>
      <c r="B179" s="288" t="str">
        <f t="shared" si="37"/>
        <v/>
      </c>
      <c r="C179" s="290"/>
      <c r="D179" s="288" t="str">
        <f t="shared" si="38"/>
        <v/>
      </c>
      <c r="E179" s="289"/>
      <c r="F179" s="288" t="str">
        <f t="shared" si="39"/>
        <v/>
      </c>
      <c r="G179" s="288" t="str">
        <f t="shared" si="40"/>
        <v/>
      </c>
      <c r="H179" s="128"/>
      <c r="I179" s="128"/>
      <c r="J179" s="128"/>
      <c r="K179" s="286"/>
      <c r="L179" s="287"/>
      <c r="M179" s="287"/>
      <c r="N179" s="286"/>
      <c r="O179" s="291"/>
      <c r="P179" s="285"/>
      <c r="R179" s="283" t="str">
        <f t="shared" si="31"/>
        <v/>
      </c>
      <c r="S179" s="283" t="str">
        <f t="shared" si="32"/>
        <v/>
      </c>
      <c r="T179" s="283" t="str">
        <f t="shared" si="33"/>
        <v/>
      </c>
      <c r="AD179" s="283" t="s">
        <v>2286</v>
      </c>
      <c r="AE179" s="283" t="s">
        <v>2285</v>
      </c>
      <c r="AF179" s="283" t="str">
        <f t="shared" si="36"/>
        <v>A679072</v>
      </c>
      <c r="AG179" s="283" t="str">
        <f>VLOOKUP(AF179,[2]AKT!$C$4:$E$324,3,FALSE)</f>
        <v>0942</v>
      </c>
    </row>
    <row r="180" spans="1:33">
      <c r="A180" s="290"/>
      <c r="B180" s="288" t="str">
        <f t="shared" si="37"/>
        <v/>
      </c>
      <c r="C180" s="290"/>
      <c r="D180" s="288" t="str">
        <f t="shared" si="38"/>
        <v/>
      </c>
      <c r="E180" s="289"/>
      <c r="F180" s="288" t="str">
        <f t="shared" si="39"/>
        <v/>
      </c>
      <c r="G180" s="288" t="str">
        <f t="shared" si="40"/>
        <v/>
      </c>
      <c r="H180" s="128"/>
      <c r="I180" s="128"/>
      <c r="J180" s="128"/>
      <c r="K180" s="286"/>
      <c r="L180" s="287"/>
      <c r="M180" s="287"/>
      <c r="N180" s="286"/>
      <c r="O180" s="291"/>
      <c r="P180" s="285"/>
      <c r="R180" s="283" t="str">
        <f t="shared" si="31"/>
        <v/>
      </c>
      <c r="S180" s="283" t="str">
        <f t="shared" si="32"/>
        <v/>
      </c>
      <c r="T180" s="283" t="str">
        <f t="shared" si="33"/>
        <v/>
      </c>
      <c r="AD180" s="283" t="s">
        <v>2284</v>
      </c>
      <c r="AE180" s="283" t="s">
        <v>2283</v>
      </c>
      <c r="AF180" s="283" t="str">
        <f t="shared" si="36"/>
        <v>A679072</v>
      </c>
      <c r="AG180" s="283" t="str">
        <f>VLOOKUP(AF180,[2]AKT!$C$4:$E$324,3,FALSE)</f>
        <v>0942</v>
      </c>
    </row>
    <row r="181" spans="1:33">
      <c r="A181" s="290"/>
      <c r="B181" s="288" t="str">
        <f t="shared" si="37"/>
        <v/>
      </c>
      <c r="C181" s="290"/>
      <c r="D181" s="288" t="str">
        <f t="shared" si="38"/>
        <v/>
      </c>
      <c r="E181" s="289"/>
      <c r="F181" s="288" t="str">
        <f t="shared" si="39"/>
        <v/>
      </c>
      <c r="G181" s="288" t="str">
        <f t="shared" si="40"/>
        <v/>
      </c>
      <c r="H181" s="128"/>
      <c r="I181" s="128"/>
      <c r="J181" s="128"/>
      <c r="K181" s="286"/>
      <c r="L181" s="287"/>
      <c r="M181" s="287"/>
      <c r="N181" s="286"/>
      <c r="O181" s="291"/>
      <c r="P181" s="285"/>
      <c r="R181" s="283" t="str">
        <f t="shared" si="31"/>
        <v/>
      </c>
      <c r="S181" s="283" t="str">
        <f t="shared" si="32"/>
        <v/>
      </c>
      <c r="T181" s="283" t="str">
        <f t="shared" si="33"/>
        <v/>
      </c>
      <c r="AD181" s="283" t="s">
        <v>2282</v>
      </c>
      <c r="AE181" s="283" t="s">
        <v>2281</v>
      </c>
      <c r="AF181" s="283" t="str">
        <f t="shared" si="36"/>
        <v>A679072</v>
      </c>
      <c r="AG181" s="283" t="str">
        <f>VLOOKUP(AF181,[2]AKT!$C$4:$E$324,3,FALSE)</f>
        <v>0942</v>
      </c>
    </row>
    <row r="182" spans="1:33">
      <c r="A182" s="290"/>
      <c r="B182" s="288" t="str">
        <f t="shared" si="37"/>
        <v/>
      </c>
      <c r="C182" s="290"/>
      <c r="D182" s="288" t="str">
        <f t="shared" si="38"/>
        <v/>
      </c>
      <c r="E182" s="289"/>
      <c r="F182" s="288" t="str">
        <f t="shared" si="39"/>
        <v/>
      </c>
      <c r="G182" s="288" t="str">
        <f t="shared" si="40"/>
        <v/>
      </c>
      <c r="H182" s="128"/>
      <c r="I182" s="128"/>
      <c r="J182" s="128"/>
      <c r="K182" s="286"/>
      <c r="L182" s="287"/>
      <c r="M182" s="287"/>
      <c r="N182" s="286"/>
      <c r="O182" s="291"/>
      <c r="P182" s="285"/>
      <c r="R182" s="283" t="str">
        <f t="shared" si="31"/>
        <v/>
      </c>
      <c r="S182" s="283" t="str">
        <f t="shared" si="32"/>
        <v/>
      </c>
      <c r="T182" s="283" t="str">
        <f t="shared" si="33"/>
        <v/>
      </c>
      <c r="AD182" s="283" t="s">
        <v>2280</v>
      </c>
      <c r="AE182" s="283" t="s">
        <v>2279</v>
      </c>
      <c r="AF182" s="283" t="str">
        <f t="shared" si="36"/>
        <v>A679072</v>
      </c>
      <c r="AG182" s="283" t="str">
        <f>VLOOKUP(AF182,[2]AKT!$C$4:$E$324,3,FALSE)</f>
        <v>0942</v>
      </c>
    </row>
    <row r="183" spans="1:33">
      <c r="A183" s="290"/>
      <c r="B183" s="288" t="str">
        <f t="shared" si="37"/>
        <v/>
      </c>
      <c r="C183" s="290"/>
      <c r="D183" s="288" t="str">
        <f t="shared" si="38"/>
        <v/>
      </c>
      <c r="E183" s="289"/>
      <c r="F183" s="288" t="str">
        <f t="shared" si="39"/>
        <v/>
      </c>
      <c r="G183" s="288" t="str">
        <f t="shared" si="40"/>
        <v/>
      </c>
      <c r="H183" s="128"/>
      <c r="I183" s="128"/>
      <c r="J183" s="128"/>
      <c r="K183" s="286"/>
      <c r="L183" s="287"/>
      <c r="M183" s="287"/>
      <c r="N183" s="286"/>
      <c r="O183" s="291"/>
      <c r="P183" s="285"/>
      <c r="R183" s="283" t="str">
        <f t="shared" si="31"/>
        <v/>
      </c>
      <c r="S183" s="283" t="str">
        <f t="shared" si="32"/>
        <v/>
      </c>
      <c r="T183" s="283" t="str">
        <f t="shared" si="33"/>
        <v/>
      </c>
      <c r="AD183" s="283" t="s">
        <v>2278</v>
      </c>
      <c r="AE183" s="283" t="s">
        <v>2277</v>
      </c>
      <c r="AF183" s="283" t="str">
        <f t="shared" si="36"/>
        <v>A679072</v>
      </c>
      <c r="AG183" s="283" t="str">
        <f>VLOOKUP(AF183,[2]AKT!$C$4:$E$324,3,FALSE)</f>
        <v>0942</v>
      </c>
    </row>
    <row r="184" spans="1:33">
      <c r="A184" s="290"/>
      <c r="B184" s="288" t="str">
        <f t="shared" si="37"/>
        <v/>
      </c>
      <c r="C184" s="290"/>
      <c r="D184" s="288" t="str">
        <f t="shared" si="38"/>
        <v/>
      </c>
      <c r="E184" s="289"/>
      <c r="F184" s="288" t="str">
        <f t="shared" si="39"/>
        <v/>
      </c>
      <c r="G184" s="288" t="str">
        <f t="shared" si="40"/>
        <v/>
      </c>
      <c r="H184" s="128"/>
      <c r="I184" s="128"/>
      <c r="J184" s="128"/>
      <c r="K184" s="286"/>
      <c r="L184" s="287"/>
      <c r="M184" s="287"/>
      <c r="N184" s="286"/>
      <c r="O184" s="291"/>
      <c r="P184" s="285"/>
      <c r="R184" s="283" t="str">
        <f t="shared" si="31"/>
        <v/>
      </c>
      <c r="S184" s="283" t="str">
        <f t="shared" si="32"/>
        <v/>
      </c>
      <c r="T184" s="283" t="str">
        <f t="shared" si="33"/>
        <v/>
      </c>
      <c r="AD184" s="283" t="s">
        <v>2276</v>
      </c>
      <c r="AE184" s="283" t="s">
        <v>2275</v>
      </c>
      <c r="AF184" s="283" t="str">
        <f t="shared" si="36"/>
        <v>A679072</v>
      </c>
      <c r="AG184" s="283" t="str">
        <f>VLOOKUP(AF184,[2]AKT!$C$4:$E$324,3,FALSE)</f>
        <v>0942</v>
      </c>
    </row>
    <row r="185" spans="1:33">
      <c r="A185" s="290"/>
      <c r="B185" s="288" t="str">
        <f t="shared" si="37"/>
        <v/>
      </c>
      <c r="C185" s="290"/>
      <c r="D185" s="288" t="str">
        <f t="shared" si="38"/>
        <v/>
      </c>
      <c r="E185" s="289"/>
      <c r="F185" s="288" t="str">
        <f t="shared" si="39"/>
        <v/>
      </c>
      <c r="G185" s="288" t="str">
        <f t="shared" si="40"/>
        <v/>
      </c>
      <c r="H185" s="128"/>
      <c r="I185" s="128"/>
      <c r="J185" s="128"/>
      <c r="K185" s="286"/>
      <c r="L185" s="287"/>
      <c r="M185" s="287"/>
      <c r="N185" s="286"/>
      <c r="O185" s="291"/>
      <c r="P185" s="285"/>
      <c r="R185" s="283" t="str">
        <f t="shared" si="31"/>
        <v/>
      </c>
      <c r="S185" s="283" t="str">
        <f t="shared" si="32"/>
        <v/>
      </c>
      <c r="T185" s="283" t="str">
        <f t="shared" si="33"/>
        <v/>
      </c>
      <c r="AD185" s="283" t="s">
        <v>2274</v>
      </c>
      <c r="AE185" s="283" t="s">
        <v>2273</v>
      </c>
      <c r="AF185" s="283" t="str">
        <f t="shared" si="36"/>
        <v>A679072</v>
      </c>
      <c r="AG185" s="283" t="str">
        <f>VLOOKUP(AF185,[2]AKT!$C$4:$E$324,3,FALSE)</f>
        <v>0942</v>
      </c>
    </row>
    <row r="186" spans="1:33">
      <c r="A186" s="290"/>
      <c r="B186" s="288" t="str">
        <f t="shared" si="37"/>
        <v/>
      </c>
      <c r="C186" s="290"/>
      <c r="D186" s="288" t="str">
        <f t="shared" si="38"/>
        <v/>
      </c>
      <c r="E186" s="289"/>
      <c r="F186" s="288" t="str">
        <f t="shared" si="39"/>
        <v/>
      </c>
      <c r="G186" s="288" t="str">
        <f t="shared" si="40"/>
        <v/>
      </c>
      <c r="H186" s="128"/>
      <c r="I186" s="128"/>
      <c r="J186" s="128"/>
      <c r="K186" s="286"/>
      <c r="L186" s="287"/>
      <c r="M186" s="287"/>
      <c r="N186" s="286"/>
      <c r="O186" s="291"/>
      <c r="P186" s="285"/>
      <c r="R186" s="283" t="str">
        <f t="shared" si="31"/>
        <v/>
      </c>
      <c r="S186" s="283" t="str">
        <f t="shared" si="32"/>
        <v/>
      </c>
      <c r="T186" s="283" t="str">
        <f t="shared" si="33"/>
        <v/>
      </c>
      <c r="AD186" s="283" t="s">
        <v>2272</v>
      </c>
      <c r="AE186" s="283" t="s">
        <v>2271</v>
      </c>
      <c r="AF186" s="283" t="str">
        <f t="shared" si="36"/>
        <v>A679072</v>
      </c>
      <c r="AG186" s="283" t="str">
        <f>VLOOKUP(AF186,[2]AKT!$C$4:$E$324,3,FALSE)</f>
        <v>0942</v>
      </c>
    </row>
    <row r="187" spans="1:33">
      <c r="A187" s="290"/>
      <c r="B187" s="288" t="str">
        <f t="shared" si="37"/>
        <v/>
      </c>
      <c r="C187" s="290"/>
      <c r="D187" s="288" t="str">
        <f t="shared" si="38"/>
        <v/>
      </c>
      <c r="E187" s="289"/>
      <c r="F187" s="288" t="str">
        <f t="shared" si="39"/>
        <v/>
      </c>
      <c r="G187" s="288" t="str">
        <f t="shared" si="40"/>
        <v/>
      </c>
      <c r="H187" s="128"/>
      <c r="I187" s="128"/>
      <c r="J187" s="128"/>
      <c r="K187" s="286"/>
      <c r="L187" s="287"/>
      <c r="M187" s="287"/>
      <c r="N187" s="286"/>
      <c r="O187" s="291"/>
      <c r="P187" s="285"/>
      <c r="R187" s="283" t="str">
        <f t="shared" ref="R187:R250" si="41">LEFT(C187,3)</f>
        <v/>
      </c>
      <c r="S187" s="283" t="str">
        <f t="shared" ref="S187:S250" si="42">LEFT(C187,2)</f>
        <v/>
      </c>
      <c r="T187" s="283" t="str">
        <f t="shared" ref="T187:T250" si="43">MID(G187,2,2)</f>
        <v/>
      </c>
      <c r="AD187" s="283" t="s">
        <v>2270</v>
      </c>
      <c r="AE187" s="283" t="s">
        <v>2269</v>
      </c>
      <c r="AF187" s="283" t="str">
        <f t="shared" ref="AF187:AF250" si="44">LEFT(AD187,7)</f>
        <v>A679072</v>
      </c>
      <c r="AG187" s="283" t="str">
        <f>VLOOKUP(AF187,[2]AKT!$C$4:$E$324,3,FALSE)</f>
        <v>0942</v>
      </c>
    </row>
    <row r="188" spans="1:33">
      <c r="A188" s="290"/>
      <c r="B188" s="288" t="str">
        <f t="shared" si="37"/>
        <v/>
      </c>
      <c r="C188" s="290"/>
      <c r="D188" s="288" t="str">
        <f t="shared" si="38"/>
        <v/>
      </c>
      <c r="E188" s="289"/>
      <c r="F188" s="288" t="str">
        <f t="shared" si="39"/>
        <v/>
      </c>
      <c r="G188" s="288" t="str">
        <f t="shared" si="40"/>
        <v/>
      </c>
      <c r="H188" s="128"/>
      <c r="I188" s="128"/>
      <c r="J188" s="128"/>
      <c r="K188" s="286"/>
      <c r="L188" s="287"/>
      <c r="M188" s="287"/>
      <c r="N188" s="286"/>
      <c r="O188" s="291"/>
      <c r="P188" s="285"/>
      <c r="R188" s="283" t="str">
        <f t="shared" si="41"/>
        <v/>
      </c>
      <c r="S188" s="283" t="str">
        <f t="shared" si="42"/>
        <v/>
      </c>
      <c r="T188" s="283" t="str">
        <f t="shared" si="43"/>
        <v/>
      </c>
      <c r="AD188" s="283" t="s">
        <v>2268</v>
      </c>
      <c r="AE188" s="283" t="s">
        <v>2267</v>
      </c>
      <c r="AF188" s="283" t="str">
        <f t="shared" si="44"/>
        <v>A679072</v>
      </c>
      <c r="AG188" s="283" t="str">
        <f>VLOOKUP(AF188,[2]AKT!$C$4:$E$324,3,FALSE)</f>
        <v>0942</v>
      </c>
    </row>
    <row r="189" spans="1:33">
      <c r="A189" s="290"/>
      <c r="B189" s="288" t="str">
        <f t="shared" si="37"/>
        <v/>
      </c>
      <c r="C189" s="290"/>
      <c r="D189" s="288" t="str">
        <f t="shared" si="38"/>
        <v/>
      </c>
      <c r="E189" s="289"/>
      <c r="F189" s="288" t="str">
        <f t="shared" si="39"/>
        <v/>
      </c>
      <c r="G189" s="288" t="str">
        <f t="shared" si="40"/>
        <v/>
      </c>
      <c r="H189" s="128"/>
      <c r="I189" s="128"/>
      <c r="J189" s="128"/>
      <c r="K189" s="286"/>
      <c r="L189" s="287"/>
      <c r="M189" s="287"/>
      <c r="N189" s="286"/>
      <c r="O189" s="291"/>
      <c r="P189" s="285"/>
      <c r="R189" s="283" t="str">
        <f t="shared" si="41"/>
        <v/>
      </c>
      <c r="S189" s="283" t="str">
        <f t="shared" si="42"/>
        <v/>
      </c>
      <c r="T189" s="283" t="str">
        <f t="shared" si="43"/>
        <v/>
      </c>
      <c r="AD189" s="283" t="s">
        <v>2266</v>
      </c>
      <c r="AE189" s="283" t="s">
        <v>2265</v>
      </c>
      <c r="AF189" s="283" t="str">
        <f t="shared" si="44"/>
        <v>A679072</v>
      </c>
      <c r="AG189" s="283" t="str">
        <f>VLOOKUP(AF189,[2]AKT!$C$4:$E$324,3,FALSE)</f>
        <v>0942</v>
      </c>
    </row>
    <row r="190" spans="1:33">
      <c r="A190" s="290"/>
      <c r="B190" s="288" t="str">
        <f t="shared" si="37"/>
        <v/>
      </c>
      <c r="C190" s="290"/>
      <c r="D190" s="288" t="str">
        <f t="shared" si="38"/>
        <v/>
      </c>
      <c r="E190" s="289"/>
      <c r="F190" s="288" t="str">
        <f t="shared" si="39"/>
        <v/>
      </c>
      <c r="G190" s="288" t="str">
        <f t="shared" si="40"/>
        <v/>
      </c>
      <c r="H190" s="128"/>
      <c r="I190" s="128"/>
      <c r="J190" s="128"/>
      <c r="K190" s="286"/>
      <c r="L190" s="287"/>
      <c r="M190" s="287"/>
      <c r="N190" s="286"/>
      <c r="O190" s="291"/>
      <c r="P190" s="285"/>
      <c r="R190" s="283" t="str">
        <f t="shared" si="41"/>
        <v/>
      </c>
      <c r="S190" s="283" t="str">
        <f t="shared" si="42"/>
        <v/>
      </c>
      <c r="T190" s="283" t="str">
        <f t="shared" si="43"/>
        <v/>
      </c>
      <c r="AD190" s="283" t="s">
        <v>2264</v>
      </c>
      <c r="AE190" s="283" t="s">
        <v>2263</v>
      </c>
      <c r="AF190" s="283" t="str">
        <f t="shared" si="44"/>
        <v>A679072</v>
      </c>
      <c r="AG190" s="283" t="str">
        <f>VLOOKUP(AF190,[2]AKT!$C$4:$E$324,3,FALSE)</f>
        <v>0942</v>
      </c>
    </row>
    <row r="191" spans="1:33">
      <c r="A191" s="290"/>
      <c r="B191" s="288" t="str">
        <f t="shared" si="37"/>
        <v/>
      </c>
      <c r="C191" s="290"/>
      <c r="D191" s="288" t="str">
        <f t="shared" si="38"/>
        <v/>
      </c>
      <c r="E191" s="289"/>
      <c r="F191" s="288" t="str">
        <f t="shared" si="39"/>
        <v/>
      </c>
      <c r="G191" s="288" t="str">
        <f t="shared" si="40"/>
        <v/>
      </c>
      <c r="H191" s="128"/>
      <c r="I191" s="128"/>
      <c r="J191" s="128"/>
      <c r="K191" s="286"/>
      <c r="L191" s="287"/>
      <c r="M191" s="287"/>
      <c r="N191" s="286"/>
      <c r="O191" s="291"/>
      <c r="P191" s="285"/>
      <c r="R191" s="283" t="str">
        <f t="shared" si="41"/>
        <v/>
      </c>
      <c r="S191" s="283" t="str">
        <f t="shared" si="42"/>
        <v/>
      </c>
      <c r="T191" s="283" t="str">
        <f t="shared" si="43"/>
        <v/>
      </c>
      <c r="AD191" s="283" t="s">
        <v>2262</v>
      </c>
      <c r="AE191" s="283" t="s">
        <v>2261</v>
      </c>
      <c r="AF191" s="283" t="str">
        <f t="shared" si="44"/>
        <v>A679072</v>
      </c>
      <c r="AG191" s="283" t="str">
        <f>VLOOKUP(AF191,[2]AKT!$C$4:$E$324,3,FALSE)</f>
        <v>0942</v>
      </c>
    </row>
    <row r="192" spans="1:33">
      <c r="A192" s="290"/>
      <c r="B192" s="288" t="str">
        <f t="shared" si="37"/>
        <v/>
      </c>
      <c r="C192" s="290"/>
      <c r="D192" s="288" t="str">
        <f t="shared" si="38"/>
        <v/>
      </c>
      <c r="E192" s="289"/>
      <c r="F192" s="288" t="str">
        <f t="shared" si="39"/>
        <v/>
      </c>
      <c r="G192" s="288" t="str">
        <f t="shared" si="40"/>
        <v/>
      </c>
      <c r="H192" s="128"/>
      <c r="I192" s="128"/>
      <c r="J192" s="128"/>
      <c r="K192" s="286"/>
      <c r="L192" s="287"/>
      <c r="M192" s="287"/>
      <c r="N192" s="286"/>
      <c r="O192" s="291"/>
      <c r="P192" s="285"/>
      <c r="R192" s="283" t="str">
        <f t="shared" si="41"/>
        <v/>
      </c>
      <c r="S192" s="283" t="str">
        <f t="shared" si="42"/>
        <v/>
      </c>
      <c r="T192" s="283" t="str">
        <f t="shared" si="43"/>
        <v/>
      </c>
      <c r="AD192" s="283" t="s">
        <v>2260</v>
      </c>
      <c r="AE192" s="283" t="s">
        <v>2259</v>
      </c>
      <c r="AF192" s="283" t="str">
        <f t="shared" si="44"/>
        <v>A679072</v>
      </c>
      <c r="AG192" s="283" t="str">
        <f>VLOOKUP(AF192,[2]AKT!$C$4:$E$324,3,FALSE)</f>
        <v>0942</v>
      </c>
    </row>
    <row r="193" spans="1:33">
      <c r="A193" s="290"/>
      <c r="B193" s="288" t="str">
        <f t="shared" si="37"/>
        <v/>
      </c>
      <c r="C193" s="290"/>
      <c r="D193" s="288" t="str">
        <f t="shared" si="38"/>
        <v/>
      </c>
      <c r="E193" s="289"/>
      <c r="F193" s="288" t="str">
        <f t="shared" si="39"/>
        <v/>
      </c>
      <c r="G193" s="288" t="str">
        <f t="shared" si="40"/>
        <v/>
      </c>
      <c r="H193" s="128"/>
      <c r="I193" s="128"/>
      <c r="J193" s="128"/>
      <c r="K193" s="286"/>
      <c r="L193" s="287"/>
      <c r="M193" s="287"/>
      <c r="N193" s="286"/>
      <c r="O193" s="291"/>
      <c r="P193" s="285"/>
      <c r="R193" s="283" t="str">
        <f t="shared" si="41"/>
        <v/>
      </c>
      <c r="S193" s="283" t="str">
        <f t="shared" si="42"/>
        <v/>
      </c>
      <c r="T193" s="283" t="str">
        <f t="shared" si="43"/>
        <v/>
      </c>
      <c r="AD193" s="283" t="s">
        <v>2258</v>
      </c>
      <c r="AE193" s="283" t="s">
        <v>2257</v>
      </c>
      <c r="AF193" s="283" t="str">
        <f t="shared" si="44"/>
        <v>A679072</v>
      </c>
      <c r="AG193" s="283" t="str">
        <f>VLOOKUP(AF193,[2]AKT!$C$4:$E$324,3,FALSE)</f>
        <v>0942</v>
      </c>
    </row>
    <row r="194" spans="1:33">
      <c r="A194" s="290"/>
      <c r="B194" s="288" t="str">
        <f t="shared" si="37"/>
        <v/>
      </c>
      <c r="C194" s="290"/>
      <c r="D194" s="288" t="str">
        <f t="shared" si="38"/>
        <v/>
      </c>
      <c r="E194" s="289"/>
      <c r="F194" s="288" t="str">
        <f t="shared" si="39"/>
        <v/>
      </c>
      <c r="G194" s="288" t="str">
        <f t="shared" si="40"/>
        <v/>
      </c>
      <c r="H194" s="128"/>
      <c r="I194" s="128"/>
      <c r="J194" s="128"/>
      <c r="K194" s="286"/>
      <c r="L194" s="287"/>
      <c r="M194" s="287"/>
      <c r="N194" s="286"/>
      <c r="O194" s="291"/>
      <c r="P194" s="285"/>
      <c r="R194" s="283" t="str">
        <f t="shared" si="41"/>
        <v/>
      </c>
      <c r="S194" s="283" t="str">
        <f t="shared" si="42"/>
        <v/>
      </c>
      <c r="T194" s="283" t="str">
        <f t="shared" si="43"/>
        <v/>
      </c>
      <c r="AD194" s="283" t="s">
        <v>2256</v>
      </c>
      <c r="AE194" s="283" t="s">
        <v>2255</v>
      </c>
      <c r="AF194" s="283" t="str">
        <f t="shared" si="44"/>
        <v>A679072</v>
      </c>
      <c r="AG194" s="283" t="str">
        <f>VLOOKUP(AF194,[2]AKT!$C$4:$E$324,3,FALSE)</f>
        <v>0942</v>
      </c>
    </row>
    <row r="195" spans="1:33">
      <c r="A195" s="290"/>
      <c r="B195" s="288" t="str">
        <f t="shared" si="37"/>
        <v/>
      </c>
      <c r="C195" s="290"/>
      <c r="D195" s="288" t="str">
        <f t="shared" si="38"/>
        <v/>
      </c>
      <c r="E195" s="289"/>
      <c r="F195" s="288" t="str">
        <f t="shared" si="39"/>
        <v/>
      </c>
      <c r="G195" s="288" t="str">
        <f t="shared" si="40"/>
        <v/>
      </c>
      <c r="H195" s="128"/>
      <c r="I195" s="128"/>
      <c r="J195" s="128"/>
      <c r="K195" s="286"/>
      <c r="L195" s="287"/>
      <c r="M195" s="287"/>
      <c r="N195" s="286"/>
      <c r="O195" s="291"/>
      <c r="P195" s="285"/>
      <c r="R195" s="283" t="str">
        <f t="shared" si="41"/>
        <v/>
      </c>
      <c r="S195" s="283" t="str">
        <f t="shared" si="42"/>
        <v/>
      </c>
      <c r="T195" s="283" t="str">
        <f t="shared" si="43"/>
        <v/>
      </c>
      <c r="AD195" s="283" t="s">
        <v>2254</v>
      </c>
      <c r="AE195" s="283" t="s">
        <v>2253</v>
      </c>
      <c r="AF195" s="283" t="str">
        <f t="shared" si="44"/>
        <v>A679072</v>
      </c>
      <c r="AG195" s="283" t="str">
        <f>VLOOKUP(AF195,[2]AKT!$C$4:$E$324,3,FALSE)</f>
        <v>0942</v>
      </c>
    </row>
    <row r="196" spans="1:33">
      <c r="A196" s="290"/>
      <c r="B196" s="288" t="str">
        <f t="shared" si="37"/>
        <v/>
      </c>
      <c r="C196" s="290"/>
      <c r="D196" s="288" t="str">
        <f t="shared" si="38"/>
        <v/>
      </c>
      <c r="E196" s="289"/>
      <c r="F196" s="288" t="str">
        <f t="shared" si="39"/>
        <v/>
      </c>
      <c r="G196" s="288" t="str">
        <f t="shared" si="40"/>
        <v/>
      </c>
      <c r="H196" s="128"/>
      <c r="I196" s="128"/>
      <c r="J196" s="128"/>
      <c r="K196" s="286"/>
      <c r="L196" s="287"/>
      <c r="M196" s="287"/>
      <c r="N196" s="286"/>
      <c r="O196" s="291"/>
      <c r="P196" s="285"/>
      <c r="R196" s="283" t="str">
        <f t="shared" si="41"/>
        <v/>
      </c>
      <c r="S196" s="283" t="str">
        <f t="shared" si="42"/>
        <v/>
      </c>
      <c r="T196" s="283" t="str">
        <f t="shared" si="43"/>
        <v/>
      </c>
      <c r="AD196" s="283" t="s">
        <v>2252</v>
      </c>
      <c r="AE196" s="283" t="s">
        <v>2251</v>
      </c>
      <c r="AF196" s="283" t="str">
        <f t="shared" si="44"/>
        <v>A679072</v>
      </c>
      <c r="AG196" s="283" t="str">
        <f>VLOOKUP(AF196,[2]AKT!$C$4:$E$324,3,FALSE)</f>
        <v>0942</v>
      </c>
    </row>
    <row r="197" spans="1:33">
      <c r="A197" s="290"/>
      <c r="B197" s="288" t="str">
        <f t="shared" si="37"/>
        <v/>
      </c>
      <c r="C197" s="290"/>
      <c r="D197" s="288" t="str">
        <f t="shared" si="38"/>
        <v/>
      </c>
      <c r="E197" s="289"/>
      <c r="F197" s="288" t="str">
        <f t="shared" si="39"/>
        <v/>
      </c>
      <c r="G197" s="288" t="str">
        <f t="shared" si="40"/>
        <v/>
      </c>
      <c r="H197" s="128"/>
      <c r="I197" s="128"/>
      <c r="J197" s="128"/>
      <c r="K197" s="286"/>
      <c r="L197" s="287"/>
      <c r="M197" s="287"/>
      <c r="N197" s="286"/>
      <c r="O197" s="291"/>
      <c r="P197" s="285"/>
      <c r="R197" s="283" t="str">
        <f t="shared" si="41"/>
        <v/>
      </c>
      <c r="S197" s="283" t="str">
        <f t="shared" si="42"/>
        <v/>
      </c>
      <c r="T197" s="283" t="str">
        <f t="shared" si="43"/>
        <v/>
      </c>
      <c r="AD197" s="283" t="s">
        <v>2250</v>
      </c>
      <c r="AE197" s="283" t="s">
        <v>2249</v>
      </c>
      <c r="AF197" s="283" t="str">
        <f t="shared" si="44"/>
        <v>A679072</v>
      </c>
      <c r="AG197" s="283" t="str">
        <f>VLOOKUP(AF197,[2]AKT!$C$4:$E$324,3,FALSE)</f>
        <v>0942</v>
      </c>
    </row>
    <row r="198" spans="1:33">
      <c r="A198" s="290"/>
      <c r="B198" s="288" t="str">
        <f t="shared" si="37"/>
        <v/>
      </c>
      <c r="C198" s="290"/>
      <c r="D198" s="288" t="str">
        <f t="shared" si="38"/>
        <v/>
      </c>
      <c r="E198" s="289"/>
      <c r="F198" s="288" t="str">
        <f t="shared" si="39"/>
        <v/>
      </c>
      <c r="G198" s="288" t="str">
        <f t="shared" si="40"/>
        <v/>
      </c>
      <c r="H198" s="128"/>
      <c r="I198" s="128"/>
      <c r="J198" s="128"/>
      <c r="K198" s="286"/>
      <c r="L198" s="287"/>
      <c r="M198" s="287"/>
      <c r="N198" s="286"/>
      <c r="O198" s="291"/>
      <c r="P198" s="285"/>
      <c r="R198" s="283" t="str">
        <f t="shared" si="41"/>
        <v/>
      </c>
      <c r="S198" s="283" t="str">
        <f t="shared" si="42"/>
        <v/>
      </c>
      <c r="T198" s="283" t="str">
        <f t="shared" si="43"/>
        <v/>
      </c>
      <c r="AD198" s="283" t="s">
        <v>2248</v>
      </c>
      <c r="AE198" s="283" t="s">
        <v>2247</v>
      </c>
      <c r="AF198" s="283" t="str">
        <f t="shared" si="44"/>
        <v>A679072</v>
      </c>
      <c r="AG198" s="283" t="str">
        <f>VLOOKUP(AF198,[2]AKT!$C$4:$E$324,3,FALSE)</f>
        <v>0942</v>
      </c>
    </row>
    <row r="199" spans="1:33">
      <c r="A199" s="290"/>
      <c r="B199" s="288" t="str">
        <f t="shared" si="37"/>
        <v/>
      </c>
      <c r="C199" s="290"/>
      <c r="D199" s="288" t="str">
        <f t="shared" si="38"/>
        <v/>
      </c>
      <c r="E199" s="289"/>
      <c r="F199" s="288" t="str">
        <f t="shared" si="39"/>
        <v/>
      </c>
      <c r="G199" s="288" t="str">
        <f t="shared" si="40"/>
        <v/>
      </c>
      <c r="H199" s="128"/>
      <c r="I199" s="128"/>
      <c r="J199" s="128"/>
      <c r="K199" s="286"/>
      <c r="L199" s="287"/>
      <c r="M199" s="287"/>
      <c r="N199" s="286"/>
      <c r="O199" s="291"/>
      <c r="P199" s="285"/>
      <c r="R199" s="283" t="str">
        <f t="shared" si="41"/>
        <v/>
      </c>
      <c r="S199" s="283" t="str">
        <f t="shared" si="42"/>
        <v/>
      </c>
      <c r="T199" s="283" t="str">
        <f t="shared" si="43"/>
        <v/>
      </c>
      <c r="AD199" s="283" t="s">
        <v>2246</v>
      </c>
      <c r="AE199" s="283" t="s">
        <v>2245</v>
      </c>
      <c r="AF199" s="283" t="str">
        <f t="shared" si="44"/>
        <v>A679072</v>
      </c>
      <c r="AG199" s="283" t="str">
        <f>VLOOKUP(AF199,[2]AKT!$C$4:$E$324,3,FALSE)</f>
        <v>0942</v>
      </c>
    </row>
    <row r="200" spans="1:33">
      <c r="A200" s="290"/>
      <c r="B200" s="288" t="str">
        <f t="shared" si="37"/>
        <v/>
      </c>
      <c r="C200" s="290"/>
      <c r="D200" s="288" t="str">
        <f t="shared" si="38"/>
        <v/>
      </c>
      <c r="E200" s="289"/>
      <c r="F200" s="288" t="str">
        <f t="shared" si="39"/>
        <v/>
      </c>
      <c r="G200" s="288" t="str">
        <f t="shared" si="40"/>
        <v/>
      </c>
      <c r="H200" s="128"/>
      <c r="I200" s="128"/>
      <c r="J200" s="128"/>
      <c r="K200" s="286"/>
      <c r="L200" s="287"/>
      <c r="M200" s="287"/>
      <c r="N200" s="286"/>
      <c r="O200" s="291"/>
      <c r="P200" s="285"/>
      <c r="R200" s="283" t="str">
        <f t="shared" si="41"/>
        <v/>
      </c>
      <c r="S200" s="283" t="str">
        <f t="shared" si="42"/>
        <v/>
      </c>
      <c r="T200" s="283" t="str">
        <f t="shared" si="43"/>
        <v/>
      </c>
      <c r="AD200" s="283" t="s">
        <v>2244</v>
      </c>
      <c r="AE200" s="283" t="s">
        <v>2243</v>
      </c>
      <c r="AF200" s="283" t="str">
        <f t="shared" si="44"/>
        <v>A679072</v>
      </c>
      <c r="AG200" s="283" t="str">
        <f>VLOOKUP(AF200,[2]AKT!$C$4:$E$324,3,FALSE)</f>
        <v>0942</v>
      </c>
    </row>
    <row r="201" spans="1:33">
      <c r="A201" s="290"/>
      <c r="B201" s="288" t="str">
        <f t="shared" si="37"/>
        <v/>
      </c>
      <c r="C201" s="290"/>
      <c r="D201" s="288" t="str">
        <f t="shared" si="38"/>
        <v/>
      </c>
      <c r="E201" s="289"/>
      <c r="F201" s="288" t="str">
        <f t="shared" si="39"/>
        <v/>
      </c>
      <c r="G201" s="288" t="str">
        <f t="shared" si="40"/>
        <v/>
      </c>
      <c r="H201" s="128"/>
      <c r="I201" s="128"/>
      <c r="J201" s="128"/>
      <c r="K201" s="286"/>
      <c r="L201" s="287"/>
      <c r="M201" s="287"/>
      <c r="N201" s="286"/>
      <c r="O201" s="291"/>
      <c r="P201" s="285"/>
      <c r="R201" s="283" t="str">
        <f t="shared" si="41"/>
        <v/>
      </c>
      <c r="S201" s="283" t="str">
        <f t="shared" si="42"/>
        <v/>
      </c>
      <c r="T201" s="283" t="str">
        <f t="shared" si="43"/>
        <v/>
      </c>
      <c r="AD201" s="283" t="s">
        <v>2242</v>
      </c>
      <c r="AE201" s="283" t="s">
        <v>2241</v>
      </c>
      <c r="AF201" s="283" t="str">
        <f t="shared" si="44"/>
        <v>A679072</v>
      </c>
      <c r="AG201" s="283" t="str">
        <f>VLOOKUP(AF201,[2]AKT!$C$4:$E$324,3,FALSE)</f>
        <v>0942</v>
      </c>
    </row>
    <row r="202" spans="1:33">
      <c r="A202" s="290"/>
      <c r="B202" s="288" t="str">
        <f t="shared" ref="B202:B265" si="45">IFERROR(VLOOKUP(A202,$U$6:$V$31,2,FALSE),"")</f>
        <v/>
      </c>
      <c r="C202" s="290"/>
      <c r="D202" s="288" t="str">
        <f t="shared" ref="D202:D265" si="46">IFERROR(VLOOKUP(C202,$X$5:$Z$144,2,FALSE),"")</f>
        <v/>
      </c>
      <c r="E202" s="289"/>
      <c r="F202" s="288" t="str">
        <f t="shared" ref="F202:F265" si="47">IFERROR(VLOOKUP(E202,$AD$6:$AE$1105,2,FALSE),"")</f>
        <v/>
      </c>
      <c r="G202" s="288" t="str">
        <f t="shared" ref="G202:G265" si="48">IFERROR(VLOOKUP(E202,$AD$6:$AG$1105,4,FALSE),"")</f>
        <v/>
      </c>
      <c r="H202" s="128"/>
      <c r="I202" s="128"/>
      <c r="J202" s="128"/>
      <c r="K202" s="286"/>
      <c r="L202" s="287"/>
      <c r="M202" s="287"/>
      <c r="N202" s="286"/>
      <c r="O202" s="291"/>
      <c r="P202" s="285"/>
      <c r="R202" s="283" t="str">
        <f t="shared" si="41"/>
        <v/>
      </c>
      <c r="S202" s="283" t="str">
        <f t="shared" si="42"/>
        <v/>
      </c>
      <c r="T202" s="283" t="str">
        <f t="shared" si="43"/>
        <v/>
      </c>
      <c r="AD202" s="283" t="s">
        <v>2240</v>
      </c>
      <c r="AE202" s="283" t="s">
        <v>2239</v>
      </c>
      <c r="AF202" s="283" t="str">
        <f t="shared" si="44"/>
        <v>A679072</v>
      </c>
      <c r="AG202" s="283" t="str">
        <f>VLOOKUP(AF202,[2]AKT!$C$4:$E$324,3,FALSE)</f>
        <v>0942</v>
      </c>
    </row>
    <row r="203" spans="1:33">
      <c r="A203" s="290"/>
      <c r="B203" s="288" t="str">
        <f t="shared" si="45"/>
        <v/>
      </c>
      <c r="C203" s="290"/>
      <c r="D203" s="288" t="str">
        <f t="shared" si="46"/>
        <v/>
      </c>
      <c r="E203" s="289"/>
      <c r="F203" s="288" t="str">
        <f t="shared" si="47"/>
        <v/>
      </c>
      <c r="G203" s="288" t="str">
        <f t="shared" si="48"/>
        <v/>
      </c>
      <c r="H203" s="128"/>
      <c r="I203" s="128"/>
      <c r="J203" s="128"/>
      <c r="K203" s="286"/>
      <c r="L203" s="287"/>
      <c r="M203" s="287"/>
      <c r="N203" s="286"/>
      <c r="O203" s="291"/>
      <c r="P203" s="285"/>
      <c r="R203" s="283" t="str">
        <f t="shared" si="41"/>
        <v/>
      </c>
      <c r="S203" s="283" t="str">
        <f t="shared" si="42"/>
        <v/>
      </c>
      <c r="T203" s="283" t="str">
        <f t="shared" si="43"/>
        <v/>
      </c>
      <c r="AD203" s="283" t="s">
        <v>2238</v>
      </c>
      <c r="AE203" s="283" t="s">
        <v>2237</v>
      </c>
      <c r="AF203" s="283" t="str">
        <f t="shared" si="44"/>
        <v>A679072</v>
      </c>
      <c r="AG203" s="283" t="str">
        <f>VLOOKUP(AF203,[2]AKT!$C$4:$E$324,3,FALSE)</f>
        <v>0942</v>
      </c>
    </row>
    <row r="204" spans="1:33">
      <c r="A204" s="290"/>
      <c r="B204" s="288" t="str">
        <f t="shared" si="45"/>
        <v/>
      </c>
      <c r="C204" s="290"/>
      <c r="D204" s="288" t="str">
        <f t="shared" si="46"/>
        <v/>
      </c>
      <c r="E204" s="289"/>
      <c r="F204" s="288" t="str">
        <f t="shared" si="47"/>
        <v/>
      </c>
      <c r="G204" s="288" t="str">
        <f t="shared" si="48"/>
        <v/>
      </c>
      <c r="H204" s="128"/>
      <c r="I204" s="128"/>
      <c r="J204" s="128"/>
      <c r="K204" s="286"/>
      <c r="L204" s="287"/>
      <c r="M204" s="287"/>
      <c r="N204" s="286"/>
      <c r="O204" s="291"/>
      <c r="P204" s="285"/>
      <c r="R204" s="283" t="str">
        <f t="shared" si="41"/>
        <v/>
      </c>
      <c r="S204" s="283" t="str">
        <f t="shared" si="42"/>
        <v/>
      </c>
      <c r="T204" s="283" t="str">
        <f t="shared" si="43"/>
        <v/>
      </c>
      <c r="AD204" s="283" t="s">
        <v>2236</v>
      </c>
      <c r="AE204" s="283" t="s">
        <v>2235</v>
      </c>
      <c r="AF204" s="283" t="str">
        <f t="shared" si="44"/>
        <v>A679072</v>
      </c>
      <c r="AG204" s="283" t="str">
        <f>VLOOKUP(AF204,[2]AKT!$C$4:$E$324,3,FALSE)</f>
        <v>0942</v>
      </c>
    </row>
    <row r="205" spans="1:33">
      <c r="A205" s="290"/>
      <c r="B205" s="288" t="str">
        <f t="shared" si="45"/>
        <v/>
      </c>
      <c r="C205" s="290"/>
      <c r="D205" s="288" t="str">
        <f t="shared" si="46"/>
        <v/>
      </c>
      <c r="E205" s="289"/>
      <c r="F205" s="288" t="str">
        <f t="shared" si="47"/>
        <v/>
      </c>
      <c r="G205" s="288" t="str">
        <f t="shared" si="48"/>
        <v/>
      </c>
      <c r="H205" s="128"/>
      <c r="I205" s="128"/>
      <c r="J205" s="128"/>
      <c r="K205" s="286"/>
      <c r="L205" s="287"/>
      <c r="M205" s="287"/>
      <c r="N205" s="286"/>
      <c r="O205" s="291"/>
      <c r="P205" s="285"/>
      <c r="R205" s="283" t="str">
        <f t="shared" si="41"/>
        <v/>
      </c>
      <c r="S205" s="283" t="str">
        <f t="shared" si="42"/>
        <v/>
      </c>
      <c r="T205" s="283" t="str">
        <f t="shared" si="43"/>
        <v/>
      </c>
      <c r="AD205" s="283" t="s">
        <v>2234</v>
      </c>
      <c r="AE205" s="283" t="s">
        <v>2233</v>
      </c>
      <c r="AF205" s="283" t="str">
        <f t="shared" si="44"/>
        <v>A679072</v>
      </c>
      <c r="AG205" s="283" t="str">
        <f>VLOOKUP(AF205,[2]AKT!$C$4:$E$324,3,FALSE)</f>
        <v>0942</v>
      </c>
    </row>
    <row r="206" spans="1:33">
      <c r="A206" s="290"/>
      <c r="B206" s="288" t="str">
        <f t="shared" si="45"/>
        <v/>
      </c>
      <c r="C206" s="290"/>
      <c r="D206" s="288" t="str">
        <f t="shared" si="46"/>
        <v/>
      </c>
      <c r="E206" s="289"/>
      <c r="F206" s="288" t="str">
        <f t="shared" si="47"/>
        <v/>
      </c>
      <c r="G206" s="288" t="str">
        <f t="shared" si="48"/>
        <v/>
      </c>
      <c r="H206" s="128"/>
      <c r="I206" s="128"/>
      <c r="J206" s="128"/>
      <c r="K206" s="286"/>
      <c r="L206" s="287"/>
      <c r="M206" s="287"/>
      <c r="N206" s="286"/>
      <c r="O206" s="291"/>
      <c r="P206" s="285"/>
      <c r="R206" s="283" t="str">
        <f t="shared" si="41"/>
        <v/>
      </c>
      <c r="S206" s="283" t="str">
        <f t="shared" si="42"/>
        <v/>
      </c>
      <c r="T206" s="283" t="str">
        <f t="shared" si="43"/>
        <v/>
      </c>
      <c r="AD206" s="283" t="s">
        <v>2232</v>
      </c>
      <c r="AE206" s="283" t="s">
        <v>2231</v>
      </c>
      <c r="AF206" s="283" t="str">
        <f t="shared" si="44"/>
        <v>A679072</v>
      </c>
      <c r="AG206" s="283" t="str">
        <f>VLOOKUP(AF206,[2]AKT!$C$4:$E$324,3,FALSE)</f>
        <v>0942</v>
      </c>
    </row>
    <row r="207" spans="1:33">
      <c r="A207" s="290"/>
      <c r="B207" s="288" t="str">
        <f t="shared" si="45"/>
        <v/>
      </c>
      <c r="C207" s="290"/>
      <c r="D207" s="288" t="str">
        <f t="shared" si="46"/>
        <v/>
      </c>
      <c r="E207" s="289"/>
      <c r="F207" s="288" t="str">
        <f t="shared" si="47"/>
        <v/>
      </c>
      <c r="G207" s="288" t="str">
        <f t="shared" si="48"/>
        <v/>
      </c>
      <c r="H207" s="128"/>
      <c r="I207" s="128"/>
      <c r="J207" s="128"/>
      <c r="K207" s="286"/>
      <c r="L207" s="287"/>
      <c r="M207" s="287"/>
      <c r="N207" s="286"/>
      <c r="O207" s="291"/>
      <c r="P207" s="285"/>
      <c r="R207" s="283" t="str">
        <f t="shared" si="41"/>
        <v/>
      </c>
      <c r="S207" s="283" t="str">
        <f t="shared" si="42"/>
        <v/>
      </c>
      <c r="T207" s="283" t="str">
        <f t="shared" si="43"/>
        <v/>
      </c>
      <c r="AD207" s="283" t="s">
        <v>2230</v>
      </c>
      <c r="AE207" s="283" t="s">
        <v>2229</v>
      </c>
      <c r="AF207" s="283" t="str">
        <f t="shared" si="44"/>
        <v>A679072</v>
      </c>
      <c r="AG207" s="283" t="str">
        <f>VLOOKUP(AF207,[2]AKT!$C$4:$E$324,3,FALSE)</f>
        <v>0942</v>
      </c>
    </row>
    <row r="208" spans="1:33">
      <c r="A208" s="290"/>
      <c r="B208" s="288" t="str">
        <f t="shared" si="45"/>
        <v/>
      </c>
      <c r="C208" s="290"/>
      <c r="D208" s="288" t="str">
        <f t="shared" si="46"/>
        <v/>
      </c>
      <c r="E208" s="289"/>
      <c r="F208" s="288" t="str">
        <f t="shared" si="47"/>
        <v/>
      </c>
      <c r="G208" s="288" t="str">
        <f t="shared" si="48"/>
        <v/>
      </c>
      <c r="H208" s="128"/>
      <c r="I208" s="128"/>
      <c r="J208" s="128"/>
      <c r="K208" s="286"/>
      <c r="L208" s="287"/>
      <c r="M208" s="287"/>
      <c r="N208" s="286"/>
      <c r="O208" s="291"/>
      <c r="P208" s="285"/>
      <c r="R208" s="283" t="str">
        <f t="shared" si="41"/>
        <v/>
      </c>
      <c r="S208" s="283" t="str">
        <f t="shared" si="42"/>
        <v/>
      </c>
      <c r="T208" s="283" t="str">
        <f t="shared" si="43"/>
        <v/>
      </c>
      <c r="AD208" s="283" t="s">
        <v>2228</v>
      </c>
      <c r="AE208" s="283" t="s">
        <v>2227</v>
      </c>
      <c r="AF208" s="283" t="str">
        <f t="shared" si="44"/>
        <v>A679072</v>
      </c>
      <c r="AG208" s="283" t="str">
        <f>VLOOKUP(AF208,[2]AKT!$C$4:$E$324,3,FALSE)</f>
        <v>0942</v>
      </c>
    </row>
    <row r="209" spans="1:33">
      <c r="A209" s="290"/>
      <c r="B209" s="288" t="str">
        <f t="shared" si="45"/>
        <v/>
      </c>
      <c r="C209" s="290"/>
      <c r="D209" s="288" t="str">
        <f t="shared" si="46"/>
        <v/>
      </c>
      <c r="E209" s="289"/>
      <c r="F209" s="288" t="str">
        <f t="shared" si="47"/>
        <v/>
      </c>
      <c r="G209" s="288" t="str">
        <f t="shared" si="48"/>
        <v/>
      </c>
      <c r="H209" s="128"/>
      <c r="I209" s="128"/>
      <c r="J209" s="128"/>
      <c r="K209" s="286"/>
      <c r="L209" s="287"/>
      <c r="M209" s="287"/>
      <c r="N209" s="286"/>
      <c r="O209" s="291"/>
      <c r="P209" s="285"/>
      <c r="R209" s="283" t="str">
        <f t="shared" si="41"/>
        <v/>
      </c>
      <c r="S209" s="283" t="str">
        <f t="shared" si="42"/>
        <v/>
      </c>
      <c r="T209" s="283" t="str">
        <f t="shared" si="43"/>
        <v/>
      </c>
      <c r="AD209" s="283" t="s">
        <v>2226</v>
      </c>
      <c r="AE209" s="283" t="s">
        <v>2225</v>
      </c>
      <c r="AF209" s="283" t="str">
        <f t="shared" si="44"/>
        <v>A679072</v>
      </c>
      <c r="AG209" s="283" t="str">
        <f>VLOOKUP(AF209,[2]AKT!$C$4:$E$324,3,FALSE)</f>
        <v>0942</v>
      </c>
    </row>
    <row r="210" spans="1:33">
      <c r="A210" s="290"/>
      <c r="B210" s="288" t="str">
        <f t="shared" si="45"/>
        <v/>
      </c>
      <c r="C210" s="290"/>
      <c r="D210" s="288" t="str">
        <f t="shared" si="46"/>
        <v/>
      </c>
      <c r="E210" s="289"/>
      <c r="F210" s="288" t="str">
        <f t="shared" si="47"/>
        <v/>
      </c>
      <c r="G210" s="288" t="str">
        <f t="shared" si="48"/>
        <v/>
      </c>
      <c r="H210" s="128"/>
      <c r="I210" s="128"/>
      <c r="J210" s="128"/>
      <c r="K210" s="286"/>
      <c r="L210" s="287"/>
      <c r="M210" s="287"/>
      <c r="N210" s="286"/>
      <c r="O210" s="291"/>
      <c r="P210" s="285"/>
      <c r="R210" s="283" t="str">
        <f t="shared" si="41"/>
        <v/>
      </c>
      <c r="S210" s="283" t="str">
        <f t="shared" si="42"/>
        <v/>
      </c>
      <c r="T210" s="283" t="str">
        <f t="shared" si="43"/>
        <v/>
      </c>
      <c r="AD210" s="283" t="s">
        <v>2224</v>
      </c>
      <c r="AE210" s="283" t="s">
        <v>2223</v>
      </c>
      <c r="AF210" s="283" t="str">
        <f t="shared" si="44"/>
        <v>A679072</v>
      </c>
      <c r="AG210" s="283" t="str">
        <f>VLOOKUP(AF210,[2]AKT!$C$4:$E$324,3,FALSE)</f>
        <v>0942</v>
      </c>
    </row>
    <row r="211" spans="1:33">
      <c r="A211" s="290"/>
      <c r="B211" s="288" t="str">
        <f t="shared" si="45"/>
        <v/>
      </c>
      <c r="C211" s="290"/>
      <c r="D211" s="288" t="str">
        <f t="shared" si="46"/>
        <v/>
      </c>
      <c r="E211" s="289"/>
      <c r="F211" s="288" t="str">
        <f t="shared" si="47"/>
        <v/>
      </c>
      <c r="G211" s="288" t="str">
        <f t="shared" si="48"/>
        <v/>
      </c>
      <c r="H211" s="128"/>
      <c r="I211" s="128"/>
      <c r="J211" s="128"/>
      <c r="K211" s="286"/>
      <c r="L211" s="287"/>
      <c r="M211" s="287"/>
      <c r="N211" s="286"/>
      <c r="O211" s="291"/>
      <c r="P211" s="285"/>
      <c r="R211" s="283" t="str">
        <f t="shared" si="41"/>
        <v/>
      </c>
      <c r="S211" s="283" t="str">
        <f t="shared" si="42"/>
        <v/>
      </c>
      <c r="T211" s="283" t="str">
        <f t="shared" si="43"/>
        <v/>
      </c>
      <c r="AD211" s="283" t="s">
        <v>2222</v>
      </c>
      <c r="AE211" s="283" t="s">
        <v>2221</v>
      </c>
      <c r="AF211" s="283" t="str">
        <f t="shared" si="44"/>
        <v>A679072</v>
      </c>
      <c r="AG211" s="283" t="str">
        <f>VLOOKUP(AF211,[2]AKT!$C$4:$E$324,3,FALSE)</f>
        <v>0942</v>
      </c>
    </row>
    <row r="212" spans="1:33">
      <c r="A212" s="290"/>
      <c r="B212" s="288" t="str">
        <f t="shared" si="45"/>
        <v/>
      </c>
      <c r="C212" s="290"/>
      <c r="D212" s="288" t="str">
        <f t="shared" si="46"/>
        <v/>
      </c>
      <c r="E212" s="289"/>
      <c r="F212" s="288" t="str">
        <f t="shared" si="47"/>
        <v/>
      </c>
      <c r="G212" s="288" t="str">
        <f t="shared" si="48"/>
        <v/>
      </c>
      <c r="H212" s="128"/>
      <c r="I212" s="128"/>
      <c r="J212" s="128"/>
      <c r="K212" s="286"/>
      <c r="L212" s="287"/>
      <c r="M212" s="287"/>
      <c r="N212" s="286"/>
      <c r="O212" s="291"/>
      <c r="P212" s="285"/>
      <c r="R212" s="283" t="str">
        <f t="shared" si="41"/>
        <v/>
      </c>
      <c r="S212" s="283" t="str">
        <f t="shared" si="42"/>
        <v/>
      </c>
      <c r="T212" s="283" t="str">
        <f t="shared" si="43"/>
        <v/>
      </c>
      <c r="AD212" s="283" t="s">
        <v>2220</v>
      </c>
      <c r="AE212" s="283" t="s">
        <v>2219</v>
      </c>
      <c r="AF212" s="283" t="str">
        <f t="shared" si="44"/>
        <v>A679072</v>
      </c>
      <c r="AG212" s="283" t="str">
        <f>VLOOKUP(AF212,[2]AKT!$C$4:$E$324,3,FALSE)</f>
        <v>0942</v>
      </c>
    </row>
    <row r="213" spans="1:33">
      <c r="A213" s="290"/>
      <c r="B213" s="288" t="str">
        <f t="shared" si="45"/>
        <v/>
      </c>
      <c r="C213" s="290"/>
      <c r="D213" s="288" t="str">
        <f t="shared" si="46"/>
        <v/>
      </c>
      <c r="E213" s="289"/>
      <c r="F213" s="288" t="str">
        <f t="shared" si="47"/>
        <v/>
      </c>
      <c r="G213" s="288" t="str">
        <f t="shared" si="48"/>
        <v/>
      </c>
      <c r="H213" s="128"/>
      <c r="I213" s="128"/>
      <c r="J213" s="128"/>
      <c r="K213" s="286"/>
      <c r="L213" s="287"/>
      <c r="M213" s="287"/>
      <c r="N213" s="286"/>
      <c r="O213" s="291"/>
      <c r="P213" s="285"/>
      <c r="R213" s="283" t="str">
        <f t="shared" si="41"/>
        <v/>
      </c>
      <c r="S213" s="283" t="str">
        <f t="shared" si="42"/>
        <v/>
      </c>
      <c r="T213" s="283" t="str">
        <f t="shared" si="43"/>
        <v/>
      </c>
      <c r="AD213" s="283" t="s">
        <v>2218</v>
      </c>
      <c r="AE213" s="283" t="s">
        <v>2217</v>
      </c>
      <c r="AF213" s="283" t="str">
        <f t="shared" si="44"/>
        <v>A679072</v>
      </c>
      <c r="AG213" s="283" t="str">
        <f>VLOOKUP(AF213,[2]AKT!$C$4:$E$324,3,FALSE)</f>
        <v>0942</v>
      </c>
    </row>
    <row r="214" spans="1:33">
      <c r="A214" s="290"/>
      <c r="B214" s="288" t="str">
        <f t="shared" si="45"/>
        <v/>
      </c>
      <c r="C214" s="290"/>
      <c r="D214" s="288" t="str">
        <f t="shared" si="46"/>
        <v/>
      </c>
      <c r="E214" s="289"/>
      <c r="F214" s="288" t="str">
        <f t="shared" si="47"/>
        <v/>
      </c>
      <c r="G214" s="288" t="str">
        <f t="shared" si="48"/>
        <v/>
      </c>
      <c r="H214" s="128"/>
      <c r="I214" s="128"/>
      <c r="J214" s="128"/>
      <c r="K214" s="286"/>
      <c r="L214" s="287"/>
      <c r="M214" s="287"/>
      <c r="N214" s="286"/>
      <c r="O214" s="291"/>
      <c r="P214" s="285"/>
      <c r="R214" s="283" t="str">
        <f t="shared" si="41"/>
        <v/>
      </c>
      <c r="S214" s="283" t="str">
        <f t="shared" si="42"/>
        <v/>
      </c>
      <c r="T214" s="283" t="str">
        <f t="shared" si="43"/>
        <v/>
      </c>
      <c r="AD214" s="283" t="s">
        <v>2216</v>
      </c>
      <c r="AE214" s="283" t="s">
        <v>2215</v>
      </c>
      <c r="AF214" s="283" t="str">
        <f t="shared" si="44"/>
        <v>A679072</v>
      </c>
      <c r="AG214" s="283" t="str">
        <f>VLOOKUP(AF214,[2]AKT!$C$4:$E$324,3,FALSE)</f>
        <v>0942</v>
      </c>
    </row>
    <row r="215" spans="1:33">
      <c r="A215" s="290"/>
      <c r="B215" s="288" t="str">
        <f t="shared" si="45"/>
        <v/>
      </c>
      <c r="C215" s="290"/>
      <c r="D215" s="288" t="str">
        <f t="shared" si="46"/>
        <v/>
      </c>
      <c r="E215" s="289"/>
      <c r="F215" s="288" t="str">
        <f t="shared" si="47"/>
        <v/>
      </c>
      <c r="G215" s="288" t="str">
        <f t="shared" si="48"/>
        <v/>
      </c>
      <c r="H215" s="128"/>
      <c r="I215" s="128"/>
      <c r="J215" s="128"/>
      <c r="K215" s="286"/>
      <c r="L215" s="287"/>
      <c r="M215" s="287"/>
      <c r="N215" s="286"/>
      <c r="O215" s="291"/>
      <c r="P215" s="285"/>
      <c r="R215" s="283" t="str">
        <f t="shared" si="41"/>
        <v/>
      </c>
      <c r="S215" s="283" t="str">
        <f t="shared" si="42"/>
        <v/>
      </c>
      <c r="T215" s="283" t="str">
        <f t="shared" si="43"/>
        <v/>
      </c>
      <c r="AD215" s="283" t="s">
        <v>2214</v>
      </c>
      <c r="AE215" s="283" t="s">
        <v>2213</v>
      </c>
      <c r="AF215" s="283" t="str">
        <f t="shared" si="44"/>
        <v>A679072</v>
      </c>
      <c r="AG215" s="283" t="str">
        <f>VLOOKUP(AF215,[2]AKT!$C$4:$E$324,3,FALSE)</f>
        <v>0942</v>
      </c>
    </row>
    <row r="216" spans="1:33">
      <c r="A216" s="290"/>
      <c r="B216" s="288" t="str">
        <f t="shared" si="45"/>
        <v/>
      </c>
      <c r="C216" s="290"/>
      <c r="D216" s="288" t="str">
        <f t="shared" si="46"/>
        <v/>
      </c>
      <c r="E216" s="289"/>
      <c r="F216" s="288" t="str">
        <f t="shared" si="47"/>
        <v/>
      </c>
      <c r="G216" s="288" t="str">
        <f t="shared" si="48"/>
        <v/>
      </c>
      <c r="H216" s="128"/>
      <c r="I216" s="128"/>
      <c r="J216" s="128"/>
      <c r="K216" s="286"/>
      <c r="L216" s="287"/>
      <c r="M216" s="287"/>
      <c r="N216" s="286"/>
      <c r="O216" s="291"/>
      <c r="P216" s="285"/>
      <c r="R216" s="283" t="str">
        <f t="shared" si="41"/>
        <v/>
      </c>
      <c r="S216" s="283" t="str">
        <f t="shared" si="42"/>
        <v/>
      </c>
      <c r="T216" s="283" t="str">
        <f t="shared" si="43"/>
        <v/>
      </c>
      <c r="AD216" s="283" t="s">
        <v>2212</v>
      </c>
      <c r="AE216" s="283" t="s">
        <v>2211</v>
      </c>
      <c r="AF216" s="283" t="str">
        <f t="shared" si="44"/>
        <v>A679072</v>
      </c>
      <c r="AG216" s="283" t="str">
        <f>VLOOKUP(AF216,[2]AKT!$C$4:$E$324,3,FALSE)</f>
        <v>0942</v>
      </c>
    </row>
    <row r="217" spans="1:33">
      <c r="A217" s="290"/>
      <c r="B217" s="288" t="str">
        <f t="shared" si="45"/>
        <v/>
      </c>
      <c r="C217" s="290"/>
      <c r="D217" s="288" t="str">
        <f t="shared" si="46"/>
        <v/>
      </c>
      <c r="E217" s="289"/>
      <c r="F217" s="288" t="str">
        <f t="shared" si="47"/>
        <v/>
      </c>
      <c r="G217" s="288" t="str">
        <f t="shared" si="48"/>
        <v/>
      </c>
      <c r="H217" s="128"/>
      <c r="I217" s="128"/>
      <c r="J217" s="128"/>
      <c r="K217" s="286"/>
      <c r="L217" s="287"/>
      <c r="M217" s="287"/>
      <c r="N217" s="286"/>
      <c r="O217" s="291"/>
      <c r="P217" s="285"/>
      <c r="R217" s="283" t="str">
        <f t="shared" si="41"/>
        <v/>
      </c>
      <c r="S217" s="283" t="str">
        <f t="shared" si="42"/>
        <v/>
      </c>
      <c r="T217" s="283" t="str">
        <f t="shared" si="43"/>
        <v/>
      </c>
      <c r="AD217" s="283" t="s">
        <v>2210</v>
      </c>
      <c r="AE217" s="283" t="s">
        <v>2209</v>
      </c>
      <c r="AF217" s="283" t="str">
        <f t="shared" si="44"/>
        <v>A679072</v>
      </c>
      <c r="AG217" s="283" t="str">
        <f>VLOOKUP(AF217,[2]AKT!$C$4:$E$324,3,FALSE)</f>
        <v>0942</v>
      </c>
    </row>
    <row r="218" spans="1:33">
      <c r="A218" s="290"/>
      <c r="B218" s="288" t="str">
        <f t="shared" si="45"/>
        <v/>
      </c>
      <c r="C218" s="290"/>
      <c r="D218" s="288" t="str">
        <f t="shared" si="46"/>
        <v/>
      </c>
      <c r="E218" s="289"/>
      <c r="F218" s="288" t="str">
        <f t="shared" si="47"/>
        <v/>
      </c>
      <c r="G218" s="288" t="str">
        <f t="shared" si="48"/>
        <v/>
      </c>
      <c r="H218" s="128"/>
      <c r="I218" s="128"/>
      <c r="J218" s="128"/>
      <c r="K218" s="286"/>
      <c r="L218" s="287"/>
      <c r="M218" s="287"/>
      <c r="N218" s="286"/>
      <c r="O218" s="291"/>
      <c r="P218" s="285"/>
      <c r="R218" s="283" t="str">
        <f t="shared" si="41"/>
        <v/>
      </c>
      <c r="S218" s="283" t="str">
        <f t="shared" si="42"/>
        <v/>
      </c>
      <c r="T218" s="283" t="str">
        <f t="shared" si="43"/>
        <v/>
      </c>
      <c r="AD218" s="283" t="s">
        <v>2208</v>
      </c>
      <c r="AE218" s="283" t="s">
        <v>2207</v>
      </c>
      <c r="AF218" s="283" t="str">
        <f t="shared" si="44"/>
        <v>A679072</v>
      </c>
      <c r="AG218" s="283" t="str">
        <f>VLOOKUP(AF218,[2]AKT!$C$4:$E$324,3,FALSE)</f>
        <v>0942</v>
      </c>
    </row>
    <row r="219" spans="1:33">
      <c r="A219" s="290"/>
      <c r="B219" s="288" t="str">
        <f t="shared" si="45"/>
        <v/>
      </c>
      <c r="C219" s="290"/>
      <c r="D219" s="288" t="str">
        <f t="shared" si="46"/>
        <v/>
      </c>
      <c r="E219" s="289"/>
      <c r="F219" s="288" t="str">
        <f t="shared" si="47"/>
        <v/>
      </c>
      <c r="G219" s="288" t="str">
        <f t="shared" si="48"/>
        <v/>
      </c>
      <c r="H219" s="128"/>
      <c r="I219" s="128"/>
      <c r="J219" s="128"/>
      <c r="K219" s="286"/>
      <c r="L219" s="287"/>
      <c r="M219" s="287"/>
      <c r="N219" s="286"/>
      <c r="O219" s="291"/>
      <c r="P219" s="285"/>
      <c r="R219" s="283" t="str">
        <f t="shared" si="41"/>
        <v/>
      </c>
      <c r="S219" s="283" t="str">
        <f t="shared" si="42"/>
        <v/>
      </c>
      <c r="T219" s="283" t="str">
        <f t="shared" si="43"/>
        <v/>
      </c>
      <c r="AD219" s="283" t="s">
        <v>2206</v>
      </c>
      <c r="AE219" s="283" t="s">
        <v>1392</v>
      </c>
      <c r="AF219" s="283" t="str">
        <f t="shared" si="44"/>
        <v>A679072</v>
      </c>
      <c r="AG219" s="283" t="str">
        <f>VLOOKUP(AF219,[2]AKT!$C$4:$E$324,3,FALSE)</f>
        <v>0942</v>
      </c>
    </row>
    <row r="220" spans="1:33">
      <c r="A220" s="290"/>
      <c r="B220" s="288" t="str">
        <f t="shared" si="45"/>
        <v/>
      </c>
      <c r="C220" s="290"/>
      <c r="D220" s="288" t="str">
        <f t="shared" si="46"/>
        <v/>
      </c>
      <c r="E220" s="289"/>
      <c r="F220" s="288" t="str">
        <f t="shared" si="47"/>
        <v/>
      </c>
      <c r="G220" s="288" t="str">
        <f t="shared" si="48"/>
        <v/>
      </c>
      <c r="H220" s="128"/>
      <c r="I220" s="128"/>
      <c r="J220" s="128"/>
      <c r="K220" s="286"/>
      <c r="L220" s="287"/>
      <c r="M220" s="287"/>
      <c r="N220" s="286"/>
      <c r="O220" s="291"/>
      <c r="P220" s="285"/>
      <c r="R220" s="283" t="str">
        <f t="shared" si="41"/>
        <v/>
      </c>
      <c r="S220" s="283" t="str">
        <f t="shared" si="42"/>
        <v/>
      </c>
      <c r="T220" s="283" t="str">
        <f t="shared" si="43"/>
        <v/>
      </c>
      <c r="AD220" s="283" t="s">
        <v>2205</v>
      </c>
      <c r="AE220" s="283" t="s">
        <v>2204</v>
      </c>
      <c r="AF220" s="283" t="str">
        <f t="shared" si="44"/>
        <v>A679072</v>
      </c>
      <c r="AG220" s="283" t="str">
        <f>VLOOKUP(AF220,[2]AKT!$C$4:$E$324,3,FALSE)</f>
        <v>0942</v>
      </c>
    </row>
    <row r="221" spans="1:33">
      <c r="A221" s="290"/>
      <c r="B221" s="288" t="str">
        <f t="shared" si="45"/>
        <v/>
      </c>
      <c r="C221" s="290"/>
      <c r="D221" s="288" t="str">
        <f t="shared" si="46"/>
        <v/>
      </c>
      <c r="E221" s="289"/>
      <c r="F221" s="288" t="str">
        <f t="shared" si="47"/>
        <v/>
      </c>
      <c r="G221" s="288" t="str">
        <f t="shared" si="48"/>
        <v/>
      </c>
      <c r="H221" s="128"/>
      <c r="I221" s="128"/>
      <c r="J221" s="128"/>
      <c r="K221" s="286"/>
      <c r="L221" s="287"/>
      <c r="M221" s="287"/>
      <c r="N221" s="286"/>
      <c r="O221" s="291"/>
      <c r="P221" s="285"/>
      <c r="R221" s="283" t="str">
        <f t="shared" si="41"/>
        <v/>
      </c>
      <c r="S221" s="283" t="str">
        <f t="shared" si="42"/>
        <v/>
      </c>
      <c r="T221" s="283" t="str">
        <f t="shared" si="43"/>
        <v/>
      </c>
      <c r="AD221" s="283" t="s">
        <v>2203</v>
      </c>
      <c r="AE221" s="283" t="s">
        <v>2202</v>
      </c>
      <c r="AF221" s="283" t="str">
        <f t="shared" si="44"/>
        <v>A679072</v>
      </c>
      <c r="AG221" s="283" t="str">
        <f>VLOOKUP(AF221,[2]AKT!$C$4:$E$324,3,FALSE)</f>
        <v>0942</v>
      </c>
    </row>
    <row r="222" spans="1:33">
      <c r="A222" s="290"/>
      <c r="B222" s="288" t="str">
        <f t="shared" si="45"/>
        <v/>
      </c>
      <c r="C222" s="290"/>
      <c r="D222" s="288" t="str">
        <f t="shared" si="46"/>
        <v/>
      </c>
      <c r="E222" s="289"/>
      <c r="F222" s="288" t="str">
        <f t="shared" si="47"/>
        <v/>
      </c>
      <c r="G222" s="288" t="str">
        <f t="shared" si="48"/>
        <v/>
      </c>
      <c r="H222" s="128"/>
      <c r="I222" s="128"/>
      <c r="J222" s="128"/>
      <c r="K222" s="286"/>
      <c r="L222" s="287"/>
      <c r="M222" s="287"/>
      <c r="N222" s="286"/>
      <c r="O222" s="291"/>
      <c r="P222" s="285"/>
      <c r="R222" s="283" t="str">
        <f t="shared" si="41"/>
        <v/>
      </c>
      <c r="S222" s="283" t="str">
        <f t="shared" si="42"/>
        <v/>
      </c>
      <c r="T222" s="283" t="str">
        <f t="shared" si="43"/>
        <v/>
      </c>
      <c r="AD222" s="283" t="s">
        <v>2201</v>
      </c>
      <c r="AE222" s="283" t="s">
        <v>2200</v>
      </c>
      <c r="AF222" s="283" t="str">
        <f t="shared" si="44"/>
        <v>A679072</v>
      </c>
      <c r="AG222" s="283" t="str">
        <f>VLOOKUP(AF222,[2]AKT!$C$4:$E$324,3,FALSE)</f>
        <v>0942</v>
      </c>
    </row>
    <row r="223" spans="1:33">
      <c r="A223" s="290"/>
      <c r="B223" s="288" t="str">
        <f t="shared" si="45"/>
        <v/>
      </c>
      <c r="C223" s="290"/>
      <c r="D223" s="288" t="str">
        <f t="shared" si="46"/>
        <v/>
      </c>
      <c r="E223" s="289"/>
      <c r="F223" s="288" t="str">
        <f t="shared" si="47"/>
        <v/>
      </c>
      <c r="G223" s="288" t="str">
        <f t="shared" si="48"/>
        <v/>
      </c>
      <c r="H223" s="128"/>
      <c r="I223" s="128"/>
      <c r="J223" s="128"/>
      <c r="K223" s="286"/>
      <c r="L223" s="287"/>
      <c r="M223" s="287"/>
      <c r="N223" s="286"/>
      <c r="O223" s="291"/>
      <c r="P223" s="285"/>
      <c r="R223" s="283" t="str">
        <f t="shared" si="41"/>
        <v/>
      </c>
      <c r="S223" s="283" t="str">
        <f t="shared" si="42"/>
        <v/>
      </c>
      <c r="T223" s="283" t="str">
        <f t="shared" si="43"/>
        <v/>
      </c>
      <c r="AD223" s="283" t="s">
        <v>2199</v>
      </c>
      <c r="AE223" s="283" t="s">
        <v>2198</v>
      </c>
      <c r="AF223" s="283" t="str">
        <f t="shared" si="44"/>
        <v>A679072</v>
      </c>
      <c r="AG223" s="283" t="str">
        <f>VLOOKUP(AF223,[2]AKT!$C$4:$E$324,3,FALSE)</f>
        <v>0942</v>
      </c>
    </row>
    <row r="224" spans="1:33">
      <c r="A224" s="290"/>
      <c r="B224" s="288" t="str">
        <f t="shared" si="45"/>
        <v/>
      </c>
      <c r="C224" s="290"/>
      <c r="D224" s="288" t="str">
        <f t="shared" si="46"/>
        <v/>
      </c>
      <c r="E224" s="289"/>
      <c r="F224" s="288" t="str">
        <f t="shared" si="47"/>
        <v/>
      </c>
      <c r="G224" s="288" t="str">
        <f t="shared" si="48"/>
        <v/>
      </c>
      <c r="H224" s="128"/>
      <c r="I224" s="128"/>
      <c r="J224" s="128"/>
      <c r="K224" s="286"/>
      <c r="L224" s="287"/>
      <c r="M224" s="287"/>
      <c r="N224" s="286"/>
      <c r="O224" s="291"/>
      <c r="P224" s="285"/>
      <c r="R224" s="283" t="str">
        <f t="shared" si="41"/>
        <v/>
      </c>
      <c r="S224" s="283" t="str">
        <f t="shared" si="42"/>
        <v/>
      </c>
      <c r="T224" s="283" t="str">
        <f t="shared" si="43"/>
        <v/>
      </c>
      <c r="AD224" s="283" t="s">
        <v>2197</v>
      </c>
      <c r="AE224" s="283" t="s">
        <v>2196</v>
      </c>
      <c r="AF224" s="283" t="str">
        <f t="shared" si="44"/>
        <v>A679072</v>
      </c>
      <c r="AG224" s="283" t="str">
        <f>VLOOKUP(AF224,[2]AKT!$C$4:$E$324,3,FALSE)</f>
        <v>0942</v>
      </c>
    </row>
    <row r="225" spans="1:33">
      <c r="A225" s="290"/>
      <c r="B225" s="288" t="str">
        <f t="shared" si="45"/>
        <v/>
      </c>
      <c r="C225" s="290"/>
      <c r="D225" s="288" t="str">
        <f t="shared" si="46"/>
        <v/>
      </c>
      <c r="E225" s="289"/>
      <c r="F225" s="288" t="str">
        <f t="shared" si="47"/>
        <v/>
      </c>
      <c r="G225" s="288" t="str">
        <f t="shared" si="48"/>
        <v/>
      </c>
      <c r="H225" s="128"/>
      <c r="I225" s="128"/>
      <c r="J225" s="128"/>
      <c r="K225" s="286"/>
      <c r="L225" s="287"/>
      <c r="M225" s="287"/>
      <c r="N225" s="286"/>
      <c r="O225" s="291"/>
      <c r="P225" s="285"/>
      <c r="R225" s="283" t="str">
        <f t="shared" si="41"/>
        <v/>
      </c>
      <c r="S225" s="283" t="str">
        <f t="shared" si="42"/>
        <v/>
      </c>
      <c r="T225" s="283" t="str">
        <f t="shared" si="43"/>
        <v/>
      </c>
      <c r="AD225" s="283" t="s">
        <v>2195</v>
      </c>
      <c r="AE225" s="283" t="s">
        <v>2194</v>
      </c>
      <c r="AF225" s="283" t="str">
        <f t="shared" si="44"/>
        <v>A679072</v>
      </c>
      <c r="AG225" s="283" t="str">
        <f>VLOOKUP(AF225,[2]AKT!$C$4:$E$324,3,FALSE)</f>
        <v>0942</v>
      </c>
    </row>
    <row r="226" spans="1:33">
      <c r="A226" s="290"/>
      <c r="B226" s="288" t="str">
        <f t="shared" si="45"/>
        <v/>
      </c>
      <c r="C226" s="290"/>
      <c r="D226" s="288" t="str">
        <f t="shared" si="46"/>
        <v/>
      </c>
      <c r="E226" s="289"/>
      <c r="F226" s="288" t="str">
        <f t="shared" si="47"/>
        <v/>
      </c>
      <c r="G226" s="288" t="str">
        <f t="shared" si="48"/>
        <v/>
      </c>
      <c r="H226" s="128"/>
      <c r="I226" s="128"/>
      <c r="J226" s="128"/>
      <c r="K226" s="286"/>
      <c r="L226" s="287"/>
      <c r="M226" s="287"/>
      <c r="N226" s="286"/>
      <c r="O226" s="291"/>
      <c r="P226" s="285"/>
      <c r="R226" s="283" t="str">
        <f t="shared" si="41"/>
        <v/>
      </c>
      <c r="S226" s="283" t="str">
        <f t="shared" si="42"/>
        <v/>
      </c>
      <c r="T226" s="283" t="str">
        <f t="shared" si="43"/>
        <v/>
      </c>
      <c r="AD226" s="283" t="s">
        <v>2193</v>
      </c>
      <c r="AE226" s="283" t="s">
        <v>2192</v>
      </c>
      <c r="AF226" s="283" t="str">
        <f t="shared" si="44"/>
        <v>A679072</v>
      </c>
      <c r="AG226" s="283" t="str">
        <f>VLOOKUP(AF226,[2]AKT!$C$4:$E$324,3,FALSE)</f>
        <v>0942</v>
      </c>
    </row>
    <row r="227" spans="1:33">
      <c r="A227" s="290"/>
      <c r="B227" s="288" t="str">
        <f t="shared" si="45"/>
        <v/>
      </c>
      <c r="C227" s="290"/>
      <c r="D227" s="288" t="str">
        <f t="shared" si="46"/>
        <v/>
      </c>
      <c r="E227" s="289"/>
      <c r="F227" s="288" t="str">
        <f t="shared" si="47"/>
        <v/>
      </c>
      <c r="G227" s="288" t="str">
        <f t="shared" si="48"/>
        <v/>
      </c>
      <c r="H227" s="128"/>
      <c r="I227" s="128"/>
      <c r="J227" s="128"/>
      <c r="K227" s="286"/>
      <c r="L227" s="287"/>
      <c r="M227" s="287"/>
      <c r="N227" s="286"/>
      <c r="O227" s="291"/>
      <c r="P227" s="285"/>
      <c r="R227" s="283" t="str">
        <f t="shared" si="41"/>
        <v/>
      </c>
      <c r="S227" s="283" t="str">
        <f t="shared" si="42"/>
        <v/>
      </c>
      <c r="T227" s="283" t="str">
        <f t="shared" si="43"/>
        <v/>
      </c>
      <c r="AD227" s="283" t="s">
        <v>2191</v>
      </c>
      <c r="AE227" s="283" t="s">
        <v>2190</v>
      </c>
      <c r="AF227" s="283" t="str">
        <f t="shared" si="44"/>
        <v>A679072</v>
      </c>
      <c r="AG227" s="283" t="str">
        <f>VLOOKUP(AF227,[2]AKT!$C$4:$E$324,3,FALSE)</f>
        <v>0942</v>
      </c>
    </row>
    <row r="228" spans="1:33">
      <c r="A228" s="290"/>
      <c r="B228" s="288" t="str">
        <f t="shared" si="45"/>
        <v/>
      </c>
      <c r="C228" s="290"/>
      <c r="D228" s="288" t="str">
        <f t="shared" si="46"/>
        <v/>
      </c>
      <c r="E228" s="289"/>
      <c r="F228" s="288" t="str">
        <f t="shared" si="47"/>
        <v/>
      </c>
      <c r="G228" s="288" t="str">
        <f t="shared" si="48"/>
        <v/>
      </c>
      <c r="H228" s="128"/>
      <c r="I228" s="128"/>
      <c r="J228" s="128"/>
      <c r="K228" s="286"/>
      <c r="L228" s="287"/>
      <c r="M228" s="287"/>
      <c r="N228" s="286"/>
      <c r="O228" s="291"/>
      <c r="P228" s="285"/>
      <c r="R228" s="283" t="str">
        <f t="shared" si="41"/>
        <v/>
      </c>
      <c r="S228" s="283" t="str">
        <f t="shared" si="42"/>
        <v/>
      </c>
      <c r="T228" s="283" t="str">
        <f t="shared" si="43"/>
        <v/>
      </c>
      <c r="AD228" s="283" t="s">
        <v>2189</v>
      </c>
      <c r="AE228" s="283" t="s">
        <v>2188</v>
      </c>
      <c r="AF228" s="283" t="str">
        <f t="shared" si="44"/>
        <v>A679072</v>
      </c>
      <c r="AG228" s="283" t="str">
        <f>VLOOKUP(AF228,[2]AKT!$C$4:$E$324,3,FALSE)</f>
        <v>0942</v>
      </c>
    </row>
    <row r="229" spans="1:33">
      <c r="A229" s="290"/>
      <c r="B229" s="288" t="str">
        <f t="shared" si="45"/>
        <v/>
      </c>
      <c r="C229" s="290"/>
      <c r="D229" s="288" t="str">
        <f t="shared" si="46"/>
        <v/>
      </c>
      <c r="E229" s="289"/>
      <c r="F229" s="288" t="str">
        <f t="shared" si="47"/>
        <v/>
      </c>
      <c r="G229" s="288" t="str">
        <f t="shared" si="48"/>
        <v/>
      </c>
      <c r="H229" s="128"/>
      <c r="I229" s="128"/>
      <c r="J229" s="128"/>
      <c r="K229" s="286"/>
      <c r="L229" s="287"/>
      <c r="M229" s="287"/>
      <c r="N229" s="286"/>
      <c r="O229" s="291"/>
      <c r="P229" s="285"/>
      <c r="R229" s="283" t="str">
        <f t="shared" si="41"/>
        <v/>
      </c>
      <c r="S229" s="283" t="str">
        <f t="shared" si="42"/>
        <v/>
      </c>
      <c r="T229" s="283" t="str">
        <f t="shared" si="43"/>
        <v/>
      </c>
      <c r="AD229" s="283" t="s">
        <v>2187</v>
      </c>
      <c r="AE229" s="283" t="s">
        <v>2186</v>
      </c>
      <c r="AF229" s="283" t="str">
        <f t="shared" si="44"/>
        <v>A679072</v>
      </c>
      <c r="AG229" s="283" t="str">
        <f>VLOOKUP(AF229,[2]AKT!$C$4:$E$324,3,FALSE)</f>
        <v>0942</v>
      </c>
    </row>
    <row r="230" spans="1:33">
      <c r="A230" s="290"/>
      <c r="B230" s="288" t="str">
        <f t="shared" si="45"/>
        <v/>
      </c>
      <c r="C230" s="290"/>
      <c r="D230" s="288" t="str">
        <f t="shared" si="46"/>
        <v/>
      </c>
      <c r="E230" s="289"/>
      <c r="F230" s="288" t="str">
        <f t="shared" si="47"/>
        <v/>
      </c>
      <c r="G230" s="288" t="str">
        <f t="shared" si="48"/>
        <v/>
      </c>
      <c r="H230" s="128"/>
      <c r="I230" s="128"/>
      <c r="J230" s="128"/>
      <c r="K230" s="286"/>
      <c r="L230" s="287"/>
      <c r="M230" s="287"/>
      <c r="N230" s="286"/>
      <c r="O230" s="291"/>
      <c r="P230" s="285"/>
      <c r="R230" s="283" t="str">
        <f t="shared" si="41"/>
        <v/>
      </c>
      <c r="S230" s="283" t="str">
        <f t="shared" si="42"/>
        <v/>
      </c>
      <c r="T230" s="283" t="str">
        <f t="shared" si="43"/>
        <v/>
      </c>
      <c r="AD230" s="283" t="s">
        <v>2185</v>
      </c>
      <c r="AE230" s="283" t="s">
        <v>2184</v>
      </c>
      <c r="AF230" s="283" t="str">
        <f t="shared" si="44"/>
        <v>A679072</v>
      </c>
      <c r="AG230" s="283" t="str">
        <f>VLOOKUP(AF230,[2]AKT!$C$4:$E$324,3,FALSE)</f>
        <v>0942</v>
      </c>
    </row>
    <row r="231" spans="1:33">
      <c r="A231" s="290"/>
      <c r="B231" s="288" t="str">
        <f t="shared" si="45"/>
        <v/>
      </c>
      <c r="C231" s="290"/>
      <c r="D231" s="288" t="str">
        <f t="shared" si="46"/>
        <v/>
      </c>
      <c r="E231" s="289"/>
      <c r="F231" s="288" t="str">
        <f t="shared" si="47"/>
        <v/>
      </c>
      <c r="G231" s="288" t="str">
        <f t="shared" si="48"/>
        <v/>
      </c>
      <c r="H231" s="128"/>
      <c r="I231" s="128"/>
      <c r="J231" s="128"/>
      <c r="K231" s="286"/>
      <c r="L231" s="287"/>
      <c r="M231" s="287"/>
      <c r="N231" s="286"/>
      <c r="O231" s="291"/>
      <c r="P231" s="285"/>
      <c r="R231" s="283" t="str">
        <f t="shared" si="41"/>
        <v/>
      </c>
      <c r="S231" s="283" t="str">
        <f t="shared" si="42"/>
        <v/>
      </c>
      <c r="T231" s="283" t="str">
        <f t="shared" si="43"/>
        <v/>
      </c>
      <c r="AD231" s="283" t="s">
        <v>2183</v>
      </c>
      <c r="AE231" s="283" t="s">
        <v>2182</v>
      </c>
      <c r="AF231" s="283" t="str">
        <f t="shared" si="44"/>
        <v>A679072</v>
      </c>
      <c r="AG231" s="283" t="str">
        <f>VLOOKUP(AF231,[2]AKT!$C$4:$E$324,3,FALSE)</f>
        <v>0942</v>
      </c>
    </row>
    <row r="232" spans="1:33">
      <c r="A232" s="290"/>
      <c r="B232" s="288" t="str">
        <f t="shared" si="45"/>
        <v/>
      </c>
      <c r="C232" s="290"/>
      <c r="D232" s="288" t="str">
        <f t="shared" si="46"/>
        <v/>
      </c>
      <c r="E232" s="289"/>
      <c r="F232" s="288" t="str">
        <f t="shared" si="47"/>
        <v/>
      </c>
      <c r="G232" s="288" t="str">
        <f t="shared" si="48"/>
        <v/>
      </c>
      <c r="H232" s="128"/>
      <c r="I232" s="128"/>
      <c r="J232" s="128"/>
      <c r="K232" s="286"/>
      <c r="L232" s="287"/>
      <c r="M232" s="287"/>
      <c r="N232" s="286"/>
      <c r="O232" s="291"/>
      <c r="P232" s="285"/>
      <c r="R232" s="283" t="str">
        <f t="shared" si="41"/>
        <v/>
      </c>
      <c r="S232" s="283" t="str">
        <f t="shared" si="42"/>
        <v/>
      </c>
      <c r="T232" s="283" t="str">
        <f t="shared" si="43"/>
        <v/>
      </c>
      <c r="AD232" s="283" t="s">
        <v>2181</v>
      </c>
      <c r="AE232" s="283" t="s">
        <v>2180</v>
      </c>
      <c r="AF232" s="283" t="str">
        <f t="shared" si="44"/>
        <v>A679072</v>
      </c>
      <c r="AG232" s="283" t="str">
        <f>VLOOKUP(AF232,[2]AKT!$C$4:$E$324,3,FALSE)</f>
        <v>0942</v>
      </c>
    </row>
    <row r="233" spans="1:33">
      <c r="A233" s="290"/>
      <c r="B233" s="288" t="str">
        <f t="shared" si="45"/>
        <v/>
      </c>
      <c r="C233" s="290"/>
      <c r="D233" s="288" t="str">
        <f t="shared" si="46"/>
        <v/>
      </c>
      <c r="E233" s="289"/>
      <c r="F233" s="288" t="str">
        <f t="shared" si="47"/>
        <v/>
      </c>
      <c r="G233" s="288" t="str">
        <f t="shared" si="48"/>
        <v/>
      </c>
      <c r="H233" s="128"/>
      <c r="I233" s="128"/>
      <c r="J233" s="128"/>
      <c r="K233" s="286"/>
      <c r="L233" s="287"/>
      <c r="M233" s="287"/>
      <c r="N233" s="286"/>
      <c r="O233" s="291"/>
      <c r="P233" s="285"/>
      <c r="R233" s="283" t="str">
        <f t="shared" si="41"/>
        <v/>
      </c>
      <c r="S233" s="283" t="str">
        <f t="shared" si="42"/>
        <v/>
      </c>
      <c r="T233" s="283" t="str">
        <f t="shared" si="43"/>
        <v/>
      </c>
      <c r="AD233" s="283" t="s">
        <v>2179</v>
      </c>
      <c r="AE233" s="283" t="s">
        <v>2178</v>
      </c>
      <c r="AF233" s="283" t="str">
        <f t="shared" si="44"/>
        <v>A679073</v>
      </c>
      <c r="AG233" s="283" t="str">
        <f>VLOOKUP(AF233,[2]AKT!$C$4:$E$324,3,FALSE)</f>
        <v>0942</v>
      </c>
    </row>
    <row r="234" spans="1:33">
      <c r="A234" s="290"/>
      <c r="B234" s="288" t="str">
        <f t="shared" si="45"/>
        <v/>
      </c>
      <c r="C234" s="290"/>
      <c r="D234" s="288" t="str">
        <f t="shared" si="46"/>
        <v/>
      </c>
      <c r="E234" s="289"/>
      <c r="F234" s="288" t="str">
        <f t="shared" si="47"/>
        <v/>
      </c>
      <c r="G234" s="288" t="str">
        <f t="shared" si="48"/>
        <v/>
      </c>
      <c r="H234" s="128"/>
      <c r="I234" s="128"/>
      <c r="J234" s="128"/>
      <c r="K234" s="286"/>
      <c r="L234" s="287"/>
      <c r="M234" s="287"/>
      <c r="N234" s="286"/>
      <c r="O234" s="291"/>
      <c r="P234" s="285"/>
      <c r="R234" s="283" t="str">
        <f t="shared" si="41"/>
        <v/>
      </c>
      <c r="S234" s="283" t="str">
        <f t="shared" si="42"/>
        <v/>
      </c>
      <c r="T234" s="283" t="str">
        <f t="shared" si="43"/>
        <v/>
      </c>
      <c r="AD234" s="283" t="s">
        <v>2177</v>
      </c>
      <c r="AE234" s="283" t="s">
        <v>2176</v>
      </c>
      <c r="AF234" s="283" t="str">
        <f t="shared" si="44"/>
        <v>A679073</v>
      </c>
      <c r="AG234" s="283" t="str">
        <f>VLOOKUP(AF234,[2]AKT!$C$4:$E$324,3,FALSE)</f>
        <v>0942</v>
      </c>
    </row>
    <row r="235" spans="1:33">
      <c r="A235" s="290"/>
      <c r="B235" s="288" t="str">
        <f t="shared" si="45"/>
        <v/>
      </c>
      <c r="C235" s="290"/>
      <c r="D235" s="288" t="str">
        <f t="shared" si="46"/>
        <v/>
      </c>
      <c r="E235" s="289"/>
      <c r="F235" s="288" t="str">
        <f t="shared" si="47"/>
        <v/>
      </c>
      <c r="G235" s="288" t="str">
        <f t="shared" si="48"/>
        <v/>
      </c>
      <c r="H235" s="128"/>
      <c r="I235" s="128"/>
      <c r="J235" s="128"/>
      <c r="K235" s="286"/>
      <c r="L235" s="287"/>
      <c r="M235" s="287"/>
      <c r="N235" s="286"/>
      <c r="O235" s="291"/>
      <c r="P235" s="285"/>
      <c r="R235" s="283" t="str">
        <f t="shared" si="41"/>
        <v/>
      </c>
      <c r="S235" s="283" t="str">
        <f t="shared" si="42"/>
        <v/>
      </c>
      <c r="T235" s="283" t="str">
        <f t="shared" si="43"/>
        <v/>
      </c>
      <c r="AD235" s="283" t="s">
        <v>2175</v>
      </c>
      <c r="AE235" s="283" t="s">
        <v>2174</v>
      </c>
      <c r="AF235" s="283" t="str">
        <f t="shared" si="44"/>
        <v>A679073</v>
      </c>
      <c r="AG235" s="283" t="str">
        <f>VLOOKUP(AF235,[2]AKT!$C$4:$E$324,3,FALSE)</f>
        <v>0942</v>
      </c>
    </row>
    <row r="236" spans="1:33">
      <c r="A236" s="290"/>
      <c r="B236" s="288" t="str">
        <f t="shared" si="45"/>
        <v/>
      </c>
      <c r="C236" s="290"/>
      <c r="D236" s="288" t="str">
        <f t="shared" si="46"/>
        <v/>
      </c>
      <c r="E236" s="289"/>
      <c r="F236" s="288" t="str">
        <f t="shared" si="47"/>
        <v/>
      </c>
      <c r="G236" s="288" t="str">
        <f t="shared" si="48"/>
        <v/>
      </c>
      <c r="H236" s="128"/>
      <c r="I236" s="128"/>
      <c r="J236" s="128"/>
      <c r="K236" s="286"/>
      <c r="L236" s="287"/>
      <c r="M236" s="287"/>
      <c r="N236" s="286"/>
      <c r="O236" s="291"/>
      <c r="P236" s="285"/>
      <c r="R236" s="283" t="str">
        <f t="shared" si="41"/>
        <v/>
      </c>
      <c r="S236" s="283" t="str">
        <f t="shared" si="42"/>
        <v/>
      </c>
      <c r="T236" s="283" t="str">
        <f t="shared" si="43"/>
        <v/>
      </c>
      <c r="AD236" s="283" t="s">
        <v>2173</v>
      </c>
      <c r="AE236" s="283" t="s">
        <v>2172</v>
      </c>
      <c r="AF236" s="283" t="str">
        <f t="shared" si="44"/>
        <v>A679073</v>
      </c>
      <c r="AG236" s="283" t="str">
        <f>VLOOKUP(AF236,[2]AKT!$C$4:$E$324,3,FALSE)</f>
        <v>0942</v>
      </c>
    </row>
    <row r="237" spans="1:33">
      <c r="A237" s="290"/>
      <c r="B237" s="288" t="str">
        <f t="shared" si="45"/>
        <v/>
      </c>
      <c r="C237" s="290"/>
      <c r="D237" s="288" t="str">
        <f t="shared" si="46"/>
        <v/>
      </c>
      <c r="E237" s="289"/>
      <c r="F237" s="288" t="str">
        <f t="shared" si="47"/>
        <v/>
      </c>
      <c r="G237" s="288" t="str">
        <f t="shared" si="48"/>
        <v/>
      </c>
      <c r="H237" s="128"/>
      <c r="I237" s="128"/>
      <c r="J237" s="128"/>
      <c r="K237" s="286"/>
      <c r="L237" s="287"/>
      <c r="M237" s="287"/>
      <c r="N237" s="286"/>
      <c r="O237" s="291"/>
      <c r="P237" s="285"/>
      <c r="R237" s="283" t="str">
        <f t="shared" si="41"/>
        <v/>
      </c>
      <c r="S237" s="283" t="str">
        <f t="shared" si="42"/>
        <v/>
      </c>
      <c r="T237" s="283" t="str">
        <f t="shared" si="43"/>
        <v/>
      </c>
      <c r="AD237" s="283" t="s">
        <v>2171</v>
      </c>
      <c r="AE237" s="283" t="s">
        <v>2170</v>
      </c>
      <c r="AF237" s="283" t="str">
        <f t="shared" si="44"/>
        <v>A679073</v>
      </c>
      <c r="AG237" s="283" t="str">
        <f>VLOOKUP(AF237,[2]AKT!$C$4:$E$324,3,FALSE)</f>
        <v>0942</v>
      </c>
    </row>
    <row r="238" spans="1:33">
      <c r="A238" s="290"/>
      <c r="B238" s="288" t="str">
        <f t="shared" si="45"/>
        <v/>
      </c>
      <c r="C238" s="290"/>
      <c r="D238" s="288" t="str">
        <f t="shared" si="46"/>
        <v/>
      </c>
      <c r="E238" s="289"/>
      <c r="F238" s="288" t="str">
        <f t="shared" si="47"/>
        <v/>
      </c>
      <c r="G238" s="288" t="str">
        <f t="shared" si="48"/>
        <v/>
      </c>
      <c r="H238" s="128"/>
      <c r="I238" s="128"/>
      <c r="J238" s="128"/>
      <c r="K238" s="286"/>
      <c r="L238" s="287"/>
      <c r="M238" s="287"/>
      <c r="N238" s="286"/>
      <c r="O238" s="291"/>
      <c r="P238" s="285"/>
      <c r="R238" s="283" t="str">
        <f t="shared" si="41"/>
        <v/>
      </c>
      <c r="S238" s="283" t="str">
        <f t="shared" si="42"/>
        <v/>
      </c>
      <c r="T238" s="283" t="str">
        <f t="shared" si="43"/>
        <v/>
      </c>
      <c r="AD238" s="283" t="s">
        <v>2169</v>
      </c>
      <c r="AE238" s="283" t="s">
        <v>2168</v>
      </c>
      <c r="AF238" s="283" t="str">
        <f t="shared" si="44"/>
        <v>A679073</v>
      </c>
      <c r="AG238" s="283" t="str">
        <f>VLOOKUP(AF238,[2]AKT!$C$4:$E$324,3,FALSE)</f>
        <v>0942</v>
      </c>
    </row>
    <row r="239" spans="1:33">
      <c r="A239" s="290"/>
      <c r="B239" s="288" t="str">
        <f t="shared" si="45"/>
        <v/>
      </c>
      <c r="C239" s="290"/>
      <c r="D239" s="288" t="str">
        <f t="shared" si="46"/>
        <v/>
      </c>
      <c r="E239" s="289"/>
      <c r="F239" s="288" t="str">
        <f t="shared" si="47"/>
        <v/>
      </c>
      <c r="G239" s="288" t="str">
        <f t="shared" si="48"/>
        <v/>
      </c>
      <c r="H239" s="128"/>
      <c r="I239" s="128"/>
      <c r="J239" s="128"/>
      <c r="K239" s="286"/>
      <c r="L239" s="287"/>
      <c r="M239" s="287"/>
      <c r="N239" s="286"/>
      <c r="O239" s="291"/>
      <c r="P239" s="285"/>
      <c r="R239" s="283" t="str">
        <f t="shared" si="41"/>
        <v/>
      </c>
      <c r="S239" s="283" t="str">
        <f t="shared" si="42"/>
        <v/>
      </c>
      <c r="T239" s="283" t="str">
        <f t="shared" si="43"/>
        <v/>
      </c>
      <c r="AD239" s="283" t="s">
        <v>2167</v>
      </c>
      <c r="AE239" s="283" t="s">
        <v>2166</v>
      </c>
      <c r="AF239" s="283" t="str">
        <f t="shared" si="44"/>
        <v>A679073</v>
      </c>
      <c r="AG239" s="283" t="str">
        <f>VLOOKUP(AF239,[2]AKT!$C$4:$E$324,3,FALSE)</f>
        <v>0942</v>
      </c>
    </row>
    <row r="240" spans="1:33">
      <c r="A240" s="290"/>
      <c r="B240" s="288" t="str">
        <f t="shared" si="45"/>
        <v/>
      </c>
      <c r="C240" s="290"/>
      <c r="D240" s="288" t="str">
        <f t="shared" si="46"/>
        <v/>
      </c>
      <c r="E240" s="289"/>
      <c r="F240" s="288" t="str">
        <f t="shared" si="47"/>
        <v/>
      </c>
      <c r="G240" s="288" t="str">
        <f t="shared" si="48"/>
        <v/>
      </c>
      <c r="H240" s="128"/>
      <c r="I240" s="128"/>
      <c r="J240" s="128"/>
      <c r="K240" s="286"/>
      <c r="L240" s="287"/>
      <c r="M240" s="287"/>
      <c r="N240" s="286"/>
      <c r="O240" s="291"/>
      <c r="P240" s="285"/>
      <c r="R240" s="283" t="str">
        <f t="shared" si="41"/>
        <v/>
      </c>
      <c r="S240" s="283" t="str">
        <f t="shared" si="42"/>
        <v/>
      </c>
      <c r="T240" s="283" t="str">
        <f t="shared" si="43"/>
        <v/>
      </c>
      <c r="AD240" s="283" t="s">
        <v>2165</v>
      </c>
      <c r="AE240" s="283" t="s">
        <v>2164</v>
      </c>
      <c r="AF240" s="283" t="str">
        <f t="shared" si="44"/>
        <v>A679073</v>
      </c>
      <c r="AG240" s="283" t="str">
        <f>VLOOKUP(AF240,[2]AKT!$C$4:$E$324,3,FALSE)</f>
        <v>0942</v>
      </c>
    </row>
    <row r="241" spans="1:33">
      <c r="A241" s="290"/>
      <c r="B241" s="288" t="str">
        <f t="shared" si="45"/>
        <v/>
      </c>
      <c r="C241" s="290"/>
      <c r="D241" s="288" t="str">
        <f t="shared" si="46"/>
        <v/>
      </c>
      <c r="E241" s="289"/>
      <c r="F241" s="288" t="str">
        <f t="shared" si="47"/>
        <v/>
      </c>
      <c r="G241" s="288" t="str">
        <f t="shared" si="48"/>
        <v/>
      </c>
      <c r="H241" s="128"/>
      <c r="I241" s="128"/>
      <c r="J241" s="128"/>
      <c r="K241" s="286"/>
      <c r="L241" s="287"/>
      <c r="M241" s="287"/>
      <c r="N241" s="286"/>
      <c r="O241" s="291"/>
      <c r="P241" s="285"/>
      <c r="R241" s="283" t="str">
        <f t="shared" si="41"/>
        <v/>
      </c>
      <c r="S241" s="283" t="str">
        <f t="shared" si="42"/>
        <v/>
      </c>
      <c r="T241" s="283" t="str">
        <f t="shared" si="43"/>
        <v/>
      </c>
      <c r="AD241" s="283" t="s">
        <v>2163</v>
      </c>
      <c r="AE241" s="283" t="s">
        <v>2162</v>
      </c>
      <c r="AF241" s="283" t="str">
        <f t="shared" si="44"/>
        <v>A679073</v>
      </c>
      <c r="AG241" s="283" t="str">
        <f>VLOOKUP(AF241,[2]AKT!$C$4:$E$324,3,FALSE)</f>
        <v>0942</v>
      </c>
    </row>
    <row r="242" spans="1:33">
      <c r="A242" s="290"/>
      <c r="B242" s="288" t="str">
        <f t="shared" si="45"/>
        <v/>
      </c>
      <c r="C242" s="290"/>
      <c r="D242" s="288" t="str">
        <f t="shared" si="46"/>
        <v/>
      </c>
      <c r="E242" s="289"/>
      <c r="F242" s="288" t="str">
        <f t="shared" si="47"/>
        <v/>
      </c>
      <c r="G242" s="288" t="str">
        <f t="shared" si="48"/>
        <v/>
      </c>
      <c r="H242" s="128"/>
      <c r="I242" s="128"/>
      <c r="J242" s="128"/>
      <c r="K242" s="286"/>
      <c r="L242" s="287"/>
      <c r="M242" s="287"/>
      <c r="N242" s="286"/>
      <c r="O242" s="291"/>
      <c r="P242" s="285"/>
      <c r="R242" s="283" t="str">
        <f t="shared" si="41"/>
        <v/>
      </c>
      <c r="S242" s="283" t="str">
        <f t="shared" si="42"/>
        <v/>
      </c>
      <c r="T242" s="283" t="str">
        <f t="shared" si="43"/>
        <v/>
      </c>
      <c r="AD242" s="283" t="s">
        <v>2161</v>
      </c>
      <c r="AE242" s="283" t="s">
        <v>2160</v>
      </c>
      <c r="AF242" s="283" t="str">
        <f t="shared" si="44"/>
        <v>A679073</v>
      </c>
      <c r="AG242" s="283" t="str">
        <f>VLOOKUP(AF242,[2]AKT!$C$4:$E$324,3,FALSE)</f>
        <v>0942</v>
      </c>
    </row>
    <row r="243" spans="1:33">
      <c r="A243" s="290"/>
      <c r="B243" s="288" t="str">
        <f t="shared" si="45"/>
        <v/>
      </c>
      <c r="C243" s="290"/>
      <c r="D243" s="288" t="str">
        <f t="shared" si="46"/>
        <v/>
      </c>
      <c r="E243" s="289"/>
      <c r="F243" s="288" t="str">
        <f t="shared" si="47"/>
        <v/>
      </c>
      <c r="G243" s="288" t="str">
        <f t="shared" si="48"/>
        <v/>
      </c>
      <c r="H243" s="128"/>
      <c r="I243" s="128"/>
      <c r="J243" s="128"/>
      <c r="K243" s="286"/>
      <c r="L243" s="287"/>
      <c r="M243" s="287"/>
      <c r="N243" s="286"/>
      <c r="O243" s="291"/>
      <c r="P243" s="285"/>
      <c r="R243" s="283" t="str">
        <f t="shared" si="41"/>
        <v/>
      </c>
      <c r="S243" s="283" t="str">
        <f t="shared" si="42"/>
        <v/>
      </c>
      <c r="T243" s="283" t="str">
        <f t="shared" si="43"/>
        <v/>
      </c>
      <c r="AD243" s="283" t="s">
        <v>2159</v>
      </c>
      <c r="AE243" s="283" t="s">
        <v>2158</v>
      </c>
      <c r="AF243" s="283" t="str">
        <f t="shared" si="44"/>
        <v>A679073</v>
      </c>
      <c r="AG243" s="283" t="str">
        <f>VLOOKUP(AF243,[2]AKT!$C$4:$E$324,3,FALSE)</f>
        <v>0942</v>
      </c>
    </row>
    <row r="244" spans="1:33">
      <c r="A244" s="290"/>
      <c r="B244" s="288" t="str">
        <f t="shared" si="45"/>
        <v/>
      </c>
      <c r="C244" s="290"/>
      <c r="D244" s="288" t="str">
        <f t="shared" si="46"/>
        <v/>
      </c>
      <c r="E244" s="289"/>
      <c r="F244" s="288" t="str">
        <f t="shared" si="47"/>
        <v/>
      </c>
      <c r="G244" s="288" t="str">
        <f t="shared" si="48"/>
        <v/>
      </c>
      <c r="H244" s="128"/>
      <c r="I244" s="128"/>
      <c r="J244" s="128"/>
      <c r="K244" s="286"/>
      <c r="L244" s="287"/>
      <c r="M244" s="287"/>
      <c r="N244" s="286"/>
      <c r="O244" s="291"/>
      <c r="P244" s="285"/>
      <c r="R244" s="283" t="str">
        <f t="shared" si="41"/>
        <v/>
      </c>
      <c r="S244" s="283" t="str">
        <f t="shared" si="42"/>
        <v/>
      </c>
      <c r="T244" s="283" t="str">
        <f t="shared" si="43"/>
        <v/>
      </c>
      <c r="AD244" s="283" t="s">
        <v>2157</v>
      </c>
      <c r="AE244" s="283" t="s">
        <v>2156</v>
      </c>
      <c r="AF244" s="283" t="str">
        <f t="shared" si="44"/>
        <v>A679073</v>
      </c>
      <c r="AG244" s="283" t="str">
        <f>VLOOKUP(AF244,[2]AKT!$C$4:$E$324,3,FALSE)</f>
        <v>0942</v>
      </c>
    </row>
    <row r="245" spans="1:33">
      <c r="A245" s="290"/>
      <c r="B245" s="288" t="str">
        <f t="shared" si="45"/>
        <v/>
      </c>
      <c r="C245" s="290"/>
      <c r="D245" s="288" t="str">
        <f t="shared" si="46"/>
        <v/>
      </c>
      <c r="E245" s="289"/>
      <c r="F245" s="288" t="str">
        <f t="shared" si="47"/>
        <v/>
      </c>
      <c r="G245" s="288" t="str">
        <f t="shared" si="48"/>
        <v/>
      </c>
      <c r="H245" s="128"/>
      <c r="I245" s="128"/>
      <c r="J245" s="128"/>
      <c r="K245" s="286"/>
      <c r="L245" s="287"/>
      <c r="M245" s="287"/>
      <c r="N245" s="286"/>
      <c r="O245" s="291"/>
      <c r="P245" s="285"/>
      <c r="R245" s="283" t="str">
        <f t="shared" si="41"/>
        <v/>
      </c>
      <c r="S245" s="283" t="str">
        <f t="shared" si="42"/>
        <v/>
      </c>
      <c r="T245" s="283" t="str">
        <f t="shared" si="43"/>
        <v/>
      </c>
      <c r="AD245" s="283" t="s">
        <v>2155</v>
      </c>
      <c r="AE245" s="283" t="s">
        <v>2154</v>
      </c>
      <c r="AF245" s="283" t="str">
        <f t="shared" si="44"/>
        <v>A679073</v>
      </c>
      <c r="AG245" s="283" t="str">
        <f>VLOOKUP(AF245,[2]AKT!$C$4:$E$324,3,FALSE)</f>
        <v>0942</v>
      </c>
    </row>
    <row r="246" spans="1:33">
      <c r="A246" s="290"/>
      <c r="B246" s="288" t="str">
        <f t="shared" si="45"/>
        <v/>
      </c>
      <c r="C246" s="290"/>
      <c r="D246" s="288" t="str">
        <f t="shared" si="46"/>
        <v/>
      </c>
      <c r="E246" s="289"/>
      <c r="F246" s="288" t="str">
        <f t="shared" si="47"/>
        <v/>
      </c>
      <c r="G246" s="288" t="str">
        <f t="shared" si="48"/>
        <v/>
      </c>
      <c r="H246" s="128"/>
      <c r="I246" s="128"/>
      <c r="J246" s="128"/>
      <c r="K246" s="286"/>
      <c r="L246" s="287"/>
      <c r="M246" s="287"/>
      <c r="N246" s="286"/>
      <c r="O246" s="291"/>
      <c r="P246" s="285"/>
      <c r="R246" s="283" t="str">
        <f t="shared" si="41"/>
        <v/>
      </c>
      <c r="S246" s="283" t="str">
        <f t="shared" si="42"/>
        <v/>
      </c>
      <c r="T246" s="283" t="str">
        <f t="shared" si="43"/>
        <v/>
      </c>
      <c r="AD246" s="283" t="s">
        <v>2153</v>
      </c>
      <c r="AE246" s="283" t="s">
        <v>2152</v>
      </c>
      <c r="AF246" s="283" t="str">
        <f t="shared" si="44"/>
        <v>A679073</v>
      </c>
      <c r="AG246" s="283" t="str">
        <f>VLOOKUP(AF246,[2]AKT!$C$4:$E$324,3,FALSE)</f>
        <v>0942</v>
      </c>
    </row>
    <row r="247" spans="1:33">
      <c r="A247" s="290"/>
      <c r="B247" s="288" t="str">
        <f t="shared" si="45"/>
        <v/>
      </c>
      <c r="C247" s="290"/>
      <c r="D247" s="288" t="str">
        <f t="shared" si="46"/>
        <v/>
      </c>
      <c r="E247" s="289"/>
      <c r="F247" s="288" t="str">
        <f t="shared" si="47"/>
        <v/>
      </c>
      <c r="G247" s="288" t="str">
        <f t="shared" si="48"/>
        <v/>
      </c>
      <c r="H247" s="128"/>
      <c r="I247" s="128"/>
      <c r="J247" s="128"/>
      <c r="K247" s="286"/>
      <c r="L247" s="287"/>
      <c r="M247" s="287"/>
      <c r="N247" s="286"/>
      <c r="O247" s="291"/>
      <c r="P247" s="285"/>
      <c r="R247" s="283" t="str">
        <f t="shared" si="41"/>
        <v/>
      </c>
      <c r="S247" s="283" t="str">
        <f t="shared" si="42"/>
        <v/>
      </c>
      <c r="T247" s="283" t="str">
        <f t="shared" si="43"/>
        <v/>
      </c>
      <c r="AD247" s="283" t="s">
        <v>2151</v>
      </c>
      <c r="AE247" s="283" t="s">
        <v>2150</v>
      </c>
      <c r="AF247" s="283" t="str">
        <f t="shared" si="44"/>
        <v>A679073</v>
      </c>
      <c r="AG247" s="283" t="str">
        <f>VLOOKUP(AF247,[2]AKT!$C$4:$E$324,3,FALSE)</f>
        <v>0942</v>
      </c>
    </row>
    <row r="248" spans="1:33">
      <c r="A248" s="290"/>
      <c r="B248" s="288" t="str">
        <f t="shared" si="45"/>
        <v/>
      </c>
      <c r="C248" s="290"/>
      <c r="D248" s="288" t="str">
        <f t="shared" si="46"/>
        <v/>
      </c>
      <c r="E248" s="289"/>
      <c r="F248" s="288" t="str">
        <f t="shared" si="47"/>
        <v/>
      </c>
      <c r="G248" s="288" t="str">
        <f t="shared" si="48"/>
        <v/>
      </c>
      <c r="H248" s="128"/>
      <c r="I248" s="128"/>
      <c r="J248" s="128"/>
      <c r="K248" s="286"/>
      <c r="L248" s="287"/>
      <c r="M248" s="287"/>
      <c r="N248" s="286"/>
      <c r="O248" s="291"/>
      <c r="P248" s="285"/>
      <c r="R248" s="283" t="str">
        <f t="shared" si="41"/>
        <v/>
      </c>
      <c r="S248" s="283" t="str">
        <f t="shared" si="42"/>
        <v/>
      </c>
      <c r="T248" s="283" t="str">
        <f t="shared" si="43"/>
        <v/>
      </c>
      <c r="AD248" s="283" t="s">
        <v>2149</v>
      </c>
      <c r="AE248" s="283" t="s">
        <v>2148</v>
      </c>
      <c r="AF248" s="283" t="str">
        <f t="shared" si="44"/>
        <v>A679073</v>
      </c>
      <c r="AG248" s="283" t="str">
        <f>VLOOKUP(AF248,[2]AKT!$C$4:$E$324,3,FALSE)</f>
        <v>0942</v>
      </c>
    </row>
    <row r="249" spans="1:33">
      <c r="A249" s="290"/>
      <c r="B249" s="288" t="str">
        <f t="shared" si="45"/>
        <v/>
      </c>
      <c r="C249" s="290"/>
      <c r="D249" s="288" t="str">
        <f t="shared" si="46"/>
        <v/>
      </c>
      <c r="E249" s="289"/>
      <c r="F249" s="288" t="str">
        <f t="shared" si="47"/>
        <v/>
      </c>
      <c r="G249" s="288" t="str">
        <f t="shared" si="48"/>
        <v/>
      </c>
      <c r="H249" s="128"/>
      <c r="I249" s="128"/>
      <c r="J249" s="128"/>
      <c r="K249" s="286"/>
      <c r="L249" s="287"/>
      <c r="M249" s="287"/>
      <c r="N249" s="286"/>
      <c r="O249" s="291"/>
      <c r="P249" s="285"/>
      <c r="R249" s="283" t="str">
        <f t="shared" si="41"/>
        <v/>
      </c>
      <c r="S249" s="283" t="str">
        <f t="shared" si="42"/>
        <v/>
      </c>
      <c r="T249" s="283" t="str">
        <f t="shared" si="43"/>
        <v/>
      </c>
      <c r="AD249" s="283" t="s">
        <v>2147</v>
      </c>
      <c r="AE249" s="283" t="s">
        <v>2146</v>
      </c>
      <c r="AF249" s="283" t="str">
        <f t="shared" si="44"/>
        <v>A679073</v>
      </c>
      <c r="AG249" s="283" t="str">
        <f>VLOOKUP(AF249,[2]AKT!$C$4:$E$324,3,FALSE)</f>
        <v>0942</v>
      </c>
    </row>
    <row r="250" spans="1:33">
      <c r="A250" s="290"/>
      <c r="B250" s="288" t="str">
        <f t="shared" si="45"/>
        <v/>
      </c>
      <c r="C250" s="290"/>
      <c r="D250" s="288" t="str">
        <f t="shared" si="46"/>
        <v/>
      </c>
      <c r="E250" s="289"/>
      <c r="F250" s="288" t="str">
        <f t="shared" si="47"/>
        <v/>
      </c>
      <c r="G250" s="288" t="str">
        <f t="shared" si="48"/>
        <v/>
      </c>
      <c r="H250" s="128"/>
      <c r="I250" s="128"/>
      <c r="J250" s="128"/>
      <c r="K250" s="286"/>
      <c r="L250" s="287"/>
      <c r="M250" s="287"/>
      <c r="N250" s="286"/>
      <c r="O250" s="291"/>
      <c r="P250" s="285"/>
      <c r="R250" s="283" t="str">
        <f t="shared" si="41"/>
        <v/>
      </c>
      <c r="S250" s="283" t="str">
        <f t="shared" si="42"/>
        <v/>
      </c>
      <c r="T250" s="283" t="str">
        <f t="shared" si="43"/>
        <v/>
      </c>
      <c r="AD250" s="283" t="s">
        <v>2145</v>
      </c>
      <c r="AE250" s="283" t="s">
        <v>2144</v>
      </c>
      <c r="AF250" s="283" t="str">
        <f t="shared" si="44"/>
        <v>A679073</v>
      </c>
      <c r="AG250" s="283" t="str">
        <f>VLOOKUP(AF250,[2]AKT!$C$4:$E$324,3,FALSE)</f>
        <v>0942</v>
      </c>
    </row>
    <row r="251" spans="1:33">
      <c r="A251" s="290"/>
      <c r="B251" s="288" t="str">
        <f t="shared" si="45"/>
        <v/>
      </c>
      <c r="C251" s="290"/>
      <c r="D251" s="288" t="str">
        <f t="shared" si="46"/>
        <v/>
      </c>
      <c r="E251" s="289"/>
      <c r="F251" s="288" t="str">
        <f t="shared" si="47"/>
        <v/>
      </c>
      <c r="G251" s="288" t="str">
        <f t="shared" si="48"/>
        <v/>
      </c>
      <c r="H251" s="128"/>
      <c r="I251" s="128"/>
      <c r="J251" s="128"/>
      <c r="K251" s="286"/>
      <c r="L251" s="287"/>
      <c r="M251" s="287"/>
      <c r="N251" s="286"/>
      <c r="O251" s="291"/>
      <c r="P251" s="285"/>
      <c r="R251" s="283" t="str">
        <f t="shared" ref="R251:R314" si="49">LEFT(C251,3)</f>
        <v/>
      </c>
      <c r="S251" s="283" t="str">
        <f t="shared" ref="S251:S314" si="50">LEFT(C251,2)</f>
        <v/>
      </c>
      <c r="T251" s="283" t="str">
        <f t="shared" ref="T251:T314" si="51">MID(G251,2,2)</f>
        <v/>
      </c>
      <c r="AD251" s="283" t="s">
        <v>2143</v>
      </c>
      <c r="AE251" s="283" t="s">
        <v>2142</v>
      </c>
      <c r="AF251" s="283" t="str">
        <f t="shared" ref="AF251:AF314" si="52">LEFT(AD251,7)</f>
        <v>A679074</v>
      </c>
      <c r="AG251" s="283" t="str">
        <f>VLOOKUP(AF251,[2]AKT!$C$4:$E$324,3,FALSE)</f>
        <v>0942</v>
      </c>
    </row>
    <row r="252" spans="1:33">
      <c r="A252" s="290"/>
      <c r="B252" s="288" t="str">
        <f t="shared" si="45"/>
        <v/>
      </c>
      <c r="C252" s="290"/>
      <c r="D252" s="288" t="str">
        <f t="shared" si="46"/>
        <v/>
      </c>
      <c r="E252" s="289"/>
      <c r="F252" s="288" t="str">
        <f t="shared" si="47"/>
        <v/>
      </c>
      <c r="G252" s="288" t="str">
        <f t="shared" si="48"/>
        <v/>
      </c>
      <c r="H252" s="128"/>
      <c r="I252" s="128"/>
      <c r="J252" s="128"/>
      <c r="K252" s="286"/>
      <c r="L252" s="287"/>
      <c r="M252" s="287"/>
      <c r="N252" s="286"/>
      <c r="O252" s="291"/>
      <c r="P252" s="285"/>
      <c r="R252" s="283" t="str">
        <f t="shared" si="49"/>
        <v/>
      </c>
      <c r="S252" s="283" t="str">
        <f t="shared" si="50"/>
        <v/>
      </c>
      <c r="T252" s="283" t="str">
        <f t="shared" si="51"/>
        <v/>
      </c>
      <c r="AD252" s="283" t="s">
        <v>2141</v>
      </c>
      <c r="AE252" s="283" t="s">
        <v>2140</v>
      </c>
      <c r="AF252" s="283" t="str">
        <f t="shared" si="52"/>
        <v>A679074</v>
      </c>
      <c r="AG252" s="283" t="str">
        <f>VLOOKUP(AF252,[2]AKT!$C$4:$E$324,3,FALSE)</f>
        <v>0942</v>
      </c>
    </row>
    <row r="253" spans="1:33">
      <c r="A253" s="290"/>
      <c r="B253" s="288" t="str">
        <f t="shared" si="45"/>
        <v/>
      </c>
      <c r="C253" s="290"/>
      <c r="D253" s="288" t="str">
        <f t="shared" si="46"/>
        <v/>
      </c>
      <c r="E253" s="289"/>
      <c r="F253" s="288" t="str">
        <f t="shared" si="47"/>
        <v/>
      </c>
      <c r="G253" s="288" t="str">
        <f t="shared" si="48"/>
        <v/>
      </c>
      <c r="H253" s="128"/>
      <c r="I253" s="128"/>
      <c r="J253" s="128"/>
      <c r="K253" s="286"/>
      <c r="L253" s="287"/>
      <c r="M253" s="287"/>
      <c r="N253" s="286"/>
      <c r="O253" s="291"/>
      <c r="P253" s="285"/>
      <c r="R253" s="283" t="str">
        <f t="shared" si="49"/>
        <v/>
      </c>
      <c r="S253" s="283" t="str">
        <f t="shared" si="50"/>
        <v/>
      </c>
      <c r="T253" s="283" t="str">
        <f t="shared" si="51"/>
        <v/>
      </c>
      <c r="AD253" s="283" t="s">
        <v>2139</v>
      </c>
      <c r="AE253" s="283" t="s">
        <v>2138</v>
      </c>
      <c r="AF253" s="283" t="str">
        <f t="shared" si="52"/>
        <v>A679074</v>
      </c>
      <c r="AG253" s="283" t="str">
        <f>VLOOKUP(AF253,[2]AKT!$C$4:$E$324,3,FALSE)</f>
        <v>0942</v>
      </c>
    </row>
    <row r="254" spans="1:33">
      <c r="A254" s="290"/>
      <c r="B254" s="288" t="str">
        <f t="shared" si="45"/>
        <v/>
      </c>
      <c r="C254" s="290"/>
      <c r="D254" s="288" t="str">
        <f t="shared" si="46"/>
        <v/>
      </c>
      <c r="E254" s="289"/>
      <c r="F254" s="288" t="str">
        <f t="shared" si="47"/>
        <v/>
      </c>
      <c r="G254" s="288" t="str">
        <f t="shared" si="48"/>
        <v/>
      </c>
      <c r="H254" s="128"/>
      <c r="I254" s="128"/>
      <c r="J254" s="128"/>
      <c r="K254" s="286"/>
      <c r="L254" s="287"/>
      <c r="M254" s="287"/>
      <c r="N254" s="286"/>
      <c r="O254" s="291"/>
      <c r="P254" s="285"/>
      <c r="R254" s="283" t="str">
        <f t="shared" si="49"/>
        <v/>
      </c>
      <c r="S254" s="283" t="str">
        <f t="shared" si="50"/>
        <v/>
      </c>
      <c r="T254" s="283" t="str">
        <f t="shared" si="51"/>
        <v/>
      </c>
      <c r="AD254" s="283" t="s">
        <v>2137</v>
      </c>
      <c r="AE254" s="283" t="s">
        <v>2136</v>
      </c>
      <c r="AF254" s="283" t="str">
        <f t="shared" si="52"/>
        <v>A679074</v>
      </c>
      <c r="AG254" s="283" t="str">
        <f>VLOOKUP(AF254,[2]AKT!$C$4:$E$324,3,FALSE)</f>
        <v>0942</v>
      </c>
    </row>
    <row r="255" spans="1:33">
      <c r="A255" s="290"/>
      <c r="B255" s="288" t="str">
        <f t="shared" si="45"/>
        <v/>
      </c>
      <c r="C255" s="290"/>
      <c r="D255" s="288" t="str">
        <f t="shared" si="46"/>
        <v/>
      </c>
      <c r="E255" s="289"/>
      <c r="F255" s="288" t="str">
        <f t="shared" si="47"/>
        <v/>
      </c>
      <c r="G255" s="288" t="str">
        <f t="shared" si="48"/>
        <v/>
      </c>
      <c r="H255" s="128"/>
      <c r="I255" s="128"/>
      <c r="J255" s="128"/>
      <c r="K255" s="286"/>
      <c r="L255" s="287"/>
      <c r="M255" s="287"/>
      <c r="N255" s="286"/>
      <c r="O255" s="291"/>
      <c r="P255" s="285"/>
      <c r="R255" s="283" t="str">
        <f t="shared" si="49"/>
        <v/>
      </c>
      <c r="S255" s="283" t="str">
        <f t="shared" si="50"/>
        <v/>
      </c>
      <c r="T255" s="283" t="str">
        <f t="shared" si="51"/>
        <v/>
      </c>
      <c r="AD255" s="283" t="s">
        <v>2135</v>
      </c>
      <c r="AE255" s="283" t="s">
        <v>2134</v>
      </c>
      <c r="AF255" s="283" t="str">
        <f t="shared" si="52"/>
        <v>A679074</v>
      </c>
      <c r="AG255" s="283" t="str">
        <f>VLOOKUP(AF255,[2]AKT!$C$4:$E$324,3,FALSE)</f>
        <v>0942</v>
      </c>
    </row>
    <row r="256" spans="1:33">
      <c r="A256" s="290"/>
      <c r="B256" s="288" t="str">
        <f t="shared" si="45"/>
        <v/>
      </c>
      <c r="C256" s="290"/>
      <c r="D256" s="288" t="str">
        <f t="shared" si="46"/>
        <v/>
      </c>
      <c r="E256" s="289"/>
      <c r="F256" s="288" t="str">
        <f t="shared" si="47"/>
        <v/>
      </c>
      <c r="G256" s="288" t="str">
        <f t="shared" si="48"/>
        <v/>
      </c>
      <c r="H256" s="128"/>
      <c r="I256" s="128"/>
      <c r="J256" s="128"/>
      <c r="K256" s="286"/>
      <c r="L256" s="287"/>
      <c r="M256" s="287"/>
      <c r="N256" s="286"/>
      <c r="O256" s="291"/>
      <c r="P256" s="285"/>
      <c r="R256" s="283" t="str">
        <f t="shared" si="49"/>
        <v/>
      </c>
      <c r="S256" s="283" t="str">
        <f t="shared" si="50"/>
        <v/>
      </c>
      <c r="T256" s="283" t="str">
        <f t="shared" si="51"/>
        <v/>
      </c>
      <c r="AD256" s="283" t="s">
        <v>2133</v>
      </c>
      <c r="AE256" s="283" t="s">
        <v>2132</v>
      </c>
      <c r="AF256" s="283" t="str">
        <f t="shared" si="52"/>
        <v>A679074</v>
      </c>
      <c r="AG256" s="283" t="str">
        <f>VLOOKUP(AF256,[2]AKT!$C$4:$E$324,3,FALSE)</f>
        <v>0942</v>
      </c>
    </row>
    <row r="257" spans="1:33">
      <c r="A257" s="290"/>
      <c r="B257" s="288" t="str">
        <f t="shared" si="45"/>
        <v/>
      </c>
      <c r="C257" s="290"/>
      <c r="D257" s="288" t="str">
        <f t="shared" si="46"/>
        <v/>
      </c>
      <c r="E257" s="289"/>
      <c r="F257" s="288" t="str">
        <f t="shared" si="47"/>
        <v/>
      </c>
      <c r="G257" s="288" t="str">
        <f t="shared" si="48"/>
        <v/>
      </c>
      <c r="H257" s="128"/>
      <c r="I257" s="128"/>
      <c r="J257" s="128"/>
      <c r="K257" s="286"/>
      <c r="L257" s="287"/>
      <c r="M257" s="287"/>
      <c r="N257" s="286"/>
      <c r="O257" s="291"/>
      <c r="P257" s="285"/>
      <c r="R257" s="283" t="str">
        <f t="shared" si="49"/>
        <v/>
      </c>
      <c r="S257" s="283" t="str">
        <f t="shared" si="50"/>
        <v/>
      </c>
      <c r="T257" s="283" t="str">
        <f t="shared" si="51"/>
        <v/>
      </c>
      <c r="AD257" s="283" t="s">
        <v>2131</v>
      </c>
      <c r="AE257" s="283" t="s">
        <v>2130</v>
      </c>
      <c r="AF257" s="283" t="str">
        <f t="shared" si="52"/>
        <v>A679074</v>
      </c>
      <c r="AG257" s="283" t="str">
        <f>VLOOKUP(AF257,[2]AKT!$C$4:$E$324,3,FALSE)</f>
        <v>0942</v>
      </c>
    </row>
    <row r="258" spans="1:33">
      <c r="A258" s="290"/>
      <c r="B258" s="288" t="str">
        <f t="shared" si="45"/>
        <v/>
      </c>
      <c r="C258" s="290"/>
      <c r="D258" s="288" t="str">
        <f t="shared" si="46"/>
        <v/>
      </c>
      <c r="E258" s="289"/>
      <c r="F258" s="288" t="str">
        <f t="shared" si="47"/>
        <v/>
      </c>
      <c r="G258" s="288" t="str">
        <f t="shared" si="48"/>
        <v/>
      </c>
      <c r="H258" s="128"/>
      <c r="I258" s="128"/>
      <c r="J258" s="128"/>
      <c r="K258" s="286"/>
      <c r="L258" s="287"/>
      <c r="M258" s="287"/>
      <c r="N258" s="286"/>
      <c r="O258" s="291"/>
      <c r="P258" s="285"/>
      <c r="R258" s="283" t="str">
        <f t="shared" si="49"/>
        <v/>
      </c>
      <c r="S258" s="283" t="str">
        <f t="shared" si="50"/>
        <v/>
      </c>
      <c r="T258" s="283" t="str">
        <f t="shared" si="51"/>
        <v/>
      </c>
      <c r="AD258" s="283" t="s">
        <v>2129</v>
      </c>
      <c r="AE258" s="283" t="s">
        <v>2128</v>
      </c>
      <c r="AF258" s="283" t="str">
        <f t="shared" si="52"/>
        <v>A679074</v>
      </c>
      <c r="AG258" s="283" t="str">
        <f>VLOOKUP(AF258,[2]AKT!$C$4:$E$324,3,FALSE)</f>
        <v>0942</v>
      </c>
    </row>
    <row r="259" spans="1:33">
      <c r="A259" s="290"/>
      <c r="B259" s="288" t="str">
        <f t="shared" si="45"/>
        <v/>
      </c>
      <c r="C259" s="290"/>
      <c r="D259" s="288" t="str">
        <f t="shared" si="46"/>
        <v/>
      </c>
      <c r="E259" s="289"/>
      <c r="F259" s="288" t="str">
        <f t="shared" si="47"/>
        <v/>
      </c>
      <c r="G259" s="288" t="str">
        <f t="shared" si="48"/>
        <v/>
      </c>
      <c r="H259" s="128"/>
      <c r="I259" s="128"/>
      <c r="J259" s="128"/>
      <c r="K259" s="286"/>
      <c r="L259" s="287"/>
      <c r="M259" s="287"/>
      <c r="N259" s="286"/>
      <c r="O259" s="291"/>
      <c r="P259" s="285"/>
      <c r="R259" s="283" t="str">
        <f t="shared" si="49"/>
        <v/>
      </c>
      <c r="S259" s="283" t="str">
        <f t="shared" si="50"/>
        <v/>
      </c>
      <c r="T259" s="283" t="str">
        <f t="shared" si="51"/>
        <v/>
      </c>
      <c r="AD259" s="283" t="s">
        <v>2127</v>
      </c>
      <c r="AE259" s="283" t="s">
        <v>2126</v>
      </c>
      <c r="AF259" s="283" t="str">
        <f t="shared" si="52"/>
        <v>A679074</v>
      </c>
      <c r="AG259" s="283" t="str">
        <f>VLOOKUP(AF259,[2]AKT!$C$4:$E$324,3,FALSE)</f>
        <v>0942</v>
      </c>
    </row>
    <row r="260" spans="1:33">
      <c r="A260" s="290"/>
      <c r="B260" s="288" t="str">
        <f t="shared" si="45"/>
        <v/>
      </c>
      <c r="C260" s="290"/>
      <c r="D260" s="288" t="str">
        <f t="shared" si="46"/>
        <v/>
      </c>
      <c r="E260" s="289"/>
      <c r="F260" s="288" t="str">
        <f t="shared" si="47"/>
        <v/>
      </c>
      <c r="G260" s="288" t="str">
        <f t="shared" si="48"/>
        <v/>
      </c>
      <c r="H260" s="128"/>
      <c r="I260" s="128"/>
      <c r="J260" s="128"/>
      <c r="K260" s="286"/>
      <c r="L260" s="287"/>
      <c r="M260" s="287"/>
      <c r="N260" s="286"/>
      <c r="O260" s="291"/>
      <c r="P260" s="285"/>
      <c r="R260" s="283" t="str">
        <f t="shared" si="49"/>
        <v/>
      </c>
      <c r="S260" s="283" t="str">
        <f t="shared" si="50"/>
        <v/>
      </c>
      <c r="T260" s="283" t="str">
        <f t="shared" si="51"/>
        <v/>
      </c>
      <c r="AD260" s="283" t="s">
        <v>2125</v>
      </c>
      <c r="AE260" s="283" t="s">
        <v>2124</v>
      </c>
      <c r="AF260" s="283" t="str">
        <f t="shared" si="52"/>
        <v>A679074</v>
      </c>
      <c r="AG260" s="283" t="str">
        <f>VLOOKUP(AF260,[2]AKT!$C$4:$E$324,3,FALSE)</f>
        <v>0942</v>
      </c>
    </row>
    <row r="261" spans="1:33">
      <c r="A261" s="290"/>
      <c r="B261" s="288" t="str">
        <f t="shared" si="45"/>
        <v/>
      </c>
      <c r="C261" s="290"/>
      <c r="D261" s="288" t="str">
        <f t="shared" si="46"/>
        <v/>
      </c>
      <c r="E261" s="289"/>
      <c r="F261" s="288" t="str">
        <f t="shared" si="47"/>
        <v/>
      </c>
      <c r="G261" s="288" t="str">
        <f t="shared" si="48"/>
        <v/>
      </c>
      <c r="H261" s="128"/>
      <c r="I261" s="128"/>
      <c r="J261" s="128"/>
      <c r="K261" s="286"/>
      <c r="L261" s="287"/>
      <c r="M261" s="287"/>
      <c r="N261" s="286"/>
      <c r="O261" s="291"/>
      <c r="P261" s="285"/>
      <c r="R261" s="283" t="str">
        <f t="shared" si="49"/>
        <v/>
      </c>
      <c r="S261" s="283" t="str">
        <f t="shared" si="50"/>
        <v/>
      </c>
      <c r="T261" s="283" t="str">
        <f t="shared" si="51"/>
        <v/>
      </c>
      <c r="AD261" s="283" t="s">
        <v>2123</v>
      </c>
      <c r="AE261" s="283" t="s">
        <v>2122</v>
      </c>
      <c r="AF261" s="283" t="str">
        <f t="shared" si="52"/>
        <v>A679074</v>
      </c>
      <c r="AG261" s="283" t="str">
        <f>VLOOKUP(AF261,[2]AKT!$C$4:$E$324,3,FALSE)</f>
        <v>0942</v>
      </c>
    </row>
    <row r="262" spans="1:33">
      <c r="A262" s="290"/>
      <c r="B262" s="288" t="str">
        <f t="shared" si="45"/>
        <v/>
      </c>
      <c r="C262" s="290"/>
      <c r="D262" s="288" t="str">
        <f t="shared" si="46"/>
        <v/>
      </c>
      <c r="E262" s="289"/>
      <c r="F262" s="288" t="str">
        <f t="shared" si="47"/>
        <v/>
      </c>
      <c r="G262" s="288" t="str">
        <f t="shared" si="48"/>
        <v/>
      </c>
      <c r="H262" s="128"/>
      <c r="I262" s="128"/>
      <c r="J262" s="128"/>
      <c r="K262" s="286"/>
      <c r="L262" s="287"/>
      <c r="M262" s="287"/>
      <c r="N262" s="286"/>
      <c r="O262" s="291"/>
      <c r="P262" s="285"/>
      <c r="R262" s="283" t="str">
        <f t="shared" si="49"/>
        <v/>
      </c>
      <c r="S262" s="283" t="str">
        <f t="shared" si="50"/>
        <v/>
      </c>
      <c r="T262" s="283" t="str">
        <f t="shared" si="51"/>
        <v/>
      </c>
      <c r="AD262" s="283" t="s">
        <v>2121</v>
      </c>
      <c r="AE262" s="283" t="s">
        <v>2120</v>
      </c>
      <c r="AF262" s="283" t="str">
        <f t="shared" si="52"/>
        <v>A679074</v>
      </c>
      <c r="AG262" s="283" t="str">
        <f>VLOOKUP(AF262,[2]AKT!$C$4:$E$324,3,FALSE)</f>
        <v>0942</v>
      </c>
    </row>
    <row r="263" spans="1:33">
      <c r="A263" s="290"/>
      <c r="B263" s="288" t="str">
        <f t="shared" si="45"/>
        <v/>
      </c>
      <c r="C263" s="290"/>
      <c r="D263" s="288" t="str">
        <f t="shared" si="46"/>
        <v/>
      </c>
      <c r="E263" s="289"/>
      <c r="F263" s="288" t="str">
        <f t="shared" si="47"/>
        <v/>
      </c>
      <c r="G263" s="288" t="str">
        <f t="shared" si="48"/>
        <v/>
      </c>
      <c r="H263" s="128"/>
      <c r="I263" s="128"/>
      <c r="J263" s="128"/>
      <c r="K263" s="286"/>
      <c r="L263" s="287"/>
      <c r="M263" s="287"/>
      <c r="N263" s="286"/>
      <c r="O263" s="291"/>
      <c r="P263" s="285"/>
      <c r="R263" s="283" t="str">
        <f t="shared" si="49"/>
        <v/>
      </c>
      <c r="S263" s="283" t="str">
        <f t="shared" si="50"/>
        <v/>
      </c>
      <c r="T263" s="283" t="str">
        <f t="shared" si="51"/>
        <v/>
      </c>
      <c r="AD263" s="283" t="s">
        <v>2119</v>
      </c>
      <c r="AE263" s="283" t="s">
        <v>2118</v>
      </c>
      <c r="AF263" s="283" t="str">
        <f t="shared" si="52"/>
        <v>A679074</v>
      </c>
      <c r="AG263" s="283" t="str">
        <f>VLOOKUP(AF263,[2]AKT!$C$4:$E$324,3,FALSE)</f>
        <v>0942</v>
      </c>
    </row>
    <row r="264" spans="1:33">
      <c r="A264" s="290"/>
      <c r="B264" s="288" t="str">
        <f t="shared" si="45"/>
        <v/>
      </c>
      <c r="C264" s="290"/>
      <c r="D264" s="288" t="str">
        <f t="shared" si="46"/>
        <v/>
      </c>
      <c r="E264" s="289"/>
      <c r="F264" s="288" t="str">
        <f t="shared" si="47"/>
        <v/>
      </c>
      <c r="G264" s="288" t="str">
        <f t="shared" si="48"/>
        <v/>
      </c>
      <c r="H264" s="128"/>
      <c r="I264" s="128"/>
      <c r="J264" s="128"/>
      <c r="K264" s="286"/>
      <c r="L264" s="287"/>
      <c r="M264" s="287"/>
      <c r="N264" s="286"/>
      <c r="O264" s="291"/>
      <c r="P264" s="285"/>
      <c r="R264" s="283" t="str">
        <f t="shared" si="49"/>
        <v/>
      </c>
      <c r="S264" s="283" t="str">
        <f t="shared" si="50"/>
        <v/>
      </c>
      <c r="T264" s="283" t="str">
        <f t="shared" si="51"/>
        <v/>
      </c>
      <c r="AD264" s="283" t="s">
        <v>2117</v>
      </c>
      <c r="AE264" s="283" t="s">
        <v>2116</v>
      </c>
      <c r="AF264" s="283" t="str">
        <f t="shared" si="52"/>
        <v>A679074</v>
      </c>
      <c r="AG264" s="283" t="str">
        <f>VLOOKUP(AF264,[2]AKT!$C$4:$E$324,3,FALSE)</f>
        <v>0942</v>
      </c>
    </row>
    <row r="265" spans="1:33">
      <c r="A265" s="290"/>
      <c r="B265" s="288" t="str">
        <f t="shared" si="45"/>
        <v/>
      </c>
      <c r="C265" s="290"/>
      <c r="D265" s="288" t="str">
        <f t="shared" si="46"/>
        <v/>
      </c>
      <c r="E265" s="289"/>
      <c r="F265" s="288" t="str">
        <f t="shared" si="47"/>
        <v/>
      </c>
      <c r="G265" s="288" t="str">
        <f t="shared" si="48"/>
        <v/>
      </c>
      <c r="H265" s="128"/>
      <c r="I265" s="128"/>
      <c r="J265" s="128"/>
      <c r="K265" s="286"/>
      <c r="L265" s="287"/>
      <c r="M265" s="287"/>
      <c r="N265" s="286"/>
      <c r="O265" s="291"/>
      <c r="P265" s="285"/>
      <c r="R265" s="283" t="str">
        <f t="shared" si="49"/>
        <v/>
      </c>
      <c r="S265" s="283" t="str">
        <f t="shared" si="50"/>
        <v/>
      </c>
      <c r="T265" s="283" t="str">
        <f t="shared" si="51"/>
        <v/>
      </c>
      <c r="AD265" s="283" t="s">
        <v>2115</v>
      </c>
      <c r="AE265" s="283" t="s">
        <v>2114</v>
      </c>
      <c r="AF265" s="283" t="str">
        <f t="shared" si="52"/>
        <v>A679074</v>
      </c>
      <c r="AG265" s="283" t="str">
        <f>VLOOKUP(AF265,[2]AKT!$C$4:$E$324,3,FALSE)</f>
        <v>0942</v>
      </c>
    </row>
    <row r="266" spans="1:33">
      <c r="A266" s="290"/>
      <c r="B266" s="288" t="str">
        <f t="shared" ref="B266:B329" si="53">IFERROR(VLOOKUP(A266,$U$6:$V$31,2,FALSE),"")</f>
        <v/>
      </c>
      <c r="C266" s="290"/>
      <c r="D266" s="288" t="str">
        <f t="shared" ref="D266:D329" si="54">IFERROR(VLOOKUP(C266,$X$5:$Z$144,2,FALSE),"")</f>
        <v/>
      </c>
      <c r="E266" s="289"/>
      <c r="F266" s="288" t="str">
        <f t="shared" ref="F266:F329" si="55">IFERROR(VLOOKUP(E266,$AD$6:$AE$1105,2,FALSE),"")</f>
        <v/>
      </c>
      <c r="G266" s="288" t="str">
        <f t="shared" ref="G266:G329" si="56">IFERROR(VLOOKUP(E266,$AD$6:$AG$1105,4,FALSE),"")</f>
        <v/>
      </c>
      <c r="H266" s="128"/>
      <c r="I266" s="128"/>
      <c r="J266" s="128"/>
      <c r="K266" s="286"/>
      <c r="L266" s="287"/>
      <c r="M266" s="287"/>
      <c r="N266" s="286"/>
      <c r="O266" s="291"/>
      <c r="P266" s="285"/>
      <c r="R266" s="283" t="str">
        <f t="shared" si="49"/>
        <v/>
      </c>
      <c r="S266" s="283" t="str">
        <f t="shared" si="50"/>
        <v/>
      </c>
      <c r="T266" s="283" t="str">
        <f t="shared" si="51"/>
        <v/>
      </c>
      <c r="AD266" s="283" t="s">
        <v>2113</v>
      </c>
      <c r="AE266" s="283" t="s">
        <v>2112</v>
      </c>
      <c r="AF266" s="283" t="str">
        <f t="shared" si="52"/>
        <v>A679074</v>
      </c>
      <c r="AG266" s="283" t="str">
        <f>VLOOKUP(AF266,[2]AKT!$C$4:$E$324,3,FALSE)</f>
        <v>0942</v>
      </c>
    </row>
    <row r="267" spans="1:33">
      <c r="A267" s="290"/>
      <c r="B267" s="288" t="str">
        <f t="shared" si="53"/>
        <v/>
      </c>
      <c r="C267" s="290"/>
      <c r="D267" s="288" t="str">
        <f t="shared" si="54"/>
        <v/>
      </c>
      <c r="E267" s="289"/>
      <c r="F267" s="288" t="str">
        <f t="shared" si="55"/>
        <v/>
      </c>
      <c r="G267" s="288" t="str">
        <f t="shared" si="56"/>
        <v/>
      </c>
      <c r="H267" s="128"/>
      <c r="I267" s="128"/>
      <c r="J267" s="128"/>
      <c r="K267" s="286"/>
      <c r="L267" s="287"/>
      <c r="M267" s="287"/>
      <c r="N267" s="286"/>
      <c r="O267" s="291"/>
      <c r="P267" s="285"/>
      <c r="R267" s="283" t="str">
        <f t="shared" si="49"/>
        <v/>
      </c>
      <c r="S267" s="283" t="str">
        <f t="shared" si="50"/>
        <v/>
      </c>
      <c r="T267" s="283" t="str">
        <f t="shared" si="51"/>
        <v/>
      </c>
      <c r="AD267" s="283" t="s">
        <v>2111</v>
      </c>
      <c r="AE267" s="283" t="s">
        <v>2110</v>
      </c>
      <c r="AF267" s="283" t="str">
        <f t="shared" si="52"/>
        <v>A679074</v>
      </c>
      <c r="AG267" s="283" t="str">
        <f>VLOOKUP(AF267,[2]AKT!$C$4:$E$324,3,FALSE)</f>
        <v>0942</v>
      </c>
    </row>
    <row r="268" spans="1:33">
      <c r="A268" s="290"/>
      <c r="B268" s="288" t="str">
        <f t="shared" si="53"/>
        <v/>
      </c>
      <c r="C268" s="290"/>
      <c r="D268" s="288" t="str">
        <f t="shared" si="54"/>
        <v/>
      </c>
      <c r="E268" s="289"/>
      <c r="F268" s="288" t="str">
        <f t="shared" si="55"/>
        <v/>
      </c>
      <c r="G268" s="288" t="str">
        <f t="shared" si="56"/>
        <v/>
      </c>
      <c r="H268" s="128"/>
      <c r="I268" s="128"/>
      <c r="J268" s="128"/>
      <c r="K268" s="286"/>
      <c r="L268" s="287"/>
      <c r="M268" s="287"/>
      <c r="N268" s="286"/>
      <c r="O268" s="291"/>
      <c r="P268" s="285"/>
      <c r="R268" s="283" t="str">
        <f t="shared" si="49"/>
        <v/>
      </c>
      <c r="S268" s="283" t="str">
        <f t="shared" si="50"/>
        <v/>
      </c>
      <c r="T268" s="283" t="str">
        <f t="shared" si="51"/>
        <v/>
      </c>
      <c r="AD268" s="283" t="s">
        <v>2109</v>
      </c>
      <c r="AE268" s="283" t="s">
        <v>2108</v>
      </c>
      <c r="AF268" s="283" t="str">
        <f t="shared" si="52"/>
        <v>A679074</v>
      </c>
      <c r="AG268" s="283" t="str">
        <f>VLOOKUP(AF268,[2]AKT!$C$4:$E$324,3,FALSE)</f>
        <v>0942</v>
      </c>
    </row>
    <row r="269" spans="1:33">
      <c r="A269" s="290"/>
      <c r="B269" s="288" t="str">
        <f t="shared" si="53"/>
        <v/>
      </c>
      <c r="C269" s="290"/>
      <c r="D269" s="288" t="str">
        <f t="shared" si="54"/>
        <v/>
      </c>
      <c r="E269" s="289"/>
      <c r="F269" s="288" t="str">
        <f t="shared" si="55"/>
        <v/>
      </c>
      <c r="G269" s="288" t="str">
        <f t="shared" si="56"/>
        <v/>
      </c>
      <c r="H269" s="128"/>
      <c r="I269" s="128"/>
      <c r="J269" s="128"/>
      <c r="K269" s="286"/>
      <c r="L269" s="287"/>
      <c r="M269" s="287"/>
      <c r="N269" s="286"/>
      <c r="O269" s="291"/>
      <c r="P269" s="285"/>
      <c r="R269" s="283" t="str">
        <f t="shared" si="49"/>
        <v/>
      </c>
      <c r="S269" s="283" t="str">
        <f t="shared" si="50"/>
        <v/>
      </c>
      <c r="T269" s="283" t="str">
        <f t="shared" si="51"/>
        <v/>
      </c>
      <c r="AD269" s="283" t="s">
        <v>2107</v>
      </c>
      <c r="AE269" s="283" t="s">
        <v>2106</v>
      </c>
      <c r="AF269" s="283" t="str">
        <f t="shared" si="52"/>
        <v>A679074</v>
      </c>
      <c r="AG269" s="283" t="str">
        <f>VLOOKUP(AF269,[2]AKT!$C$4:$E$324,3,FALSE)</f>
        <v>0942</v>
      </c>
    </row>
    <row r="270" spans="1:33">
      <c r="A270" s="290"/>
      <c r="B270" s="288" t="str">
        <f t="shared" si="53"/>
        <v/>
      </c>
      <c r="C270" s="290"/>
      <c r="D270" s="288" t="str">
        <f t="shared" si="54"/>
        <v/>
      </c>
      <c r="E270" s="289"/>
      <c r="F270" s="288" t="str">
        <f t="shared" si="55"/>
        <v/>
      </c>
      <c r="G270" s="288" t="str">
        <f t="shared" si="56"/>
        <v/>
      </c>
      <c r="H270" s="128"/>
      <c r="I270" s="128"/>
      <c r="J270" s="128"/>
      <c r="K270" s="286"/>
      <c r="L270" s="287"/>
      <c r="M270" s="287"/>
      <c r="N270" s="286"/>
      <c r="O270" s="291"/>
      <c r="P270" s="285"/>
      <c r="R270" s="283" t="str">
        <f t="shared" si="49"/>
        <v/>
      </c>
      <c r="S270" s="283" t="str">
        <f t="shared" si="50"/>
        <v/>
      </c>
      <c r="T270" s="283" t="str">
        <f t="shared" si="51"/>
        <v/>
      </c>
      <c r="AD270" s="283" t="s">
        <v>2105</v>
      </c>
      <c r="AE270" s="283" t="s">
        <v>2104</v>
      </c>
      <c r="AF270" s="283" t="str">
        <f t="shared" si="52"/>
        <v>A679074</v>
      </c>
      <c r="AG270" s="283" t="str">
        <f>VLOOKUP(AF270,[2]AKT!$C$4:$E$324,3,FALSE)</f>
        <v>0942</v>
      </c>
    </row>
    <row r="271" spans="1:33">
      <c r="A271" s="290"/>
      <c r="B271" s="288" t="str">
        <f t="shared" si="53"/>
        <v/>
      </c>
      <c r="C271" s="290"/>
      <c r="D271" s="288" t="str">
        <f t="shared" si="54"/>
        <v/>
      </c>
      <c r="E271" s="289"/>
      <c r="F271" s="288" t="str">
        <f t="shared" si="55"/>
        <v/>
      </c>
      <c r="G271" s="288" t="str">
        <f t="shared" si="56"/>
        <v/>
      </c>
      <c r="H271" s="128"/>
      <c r="I271" s="128"/>
      <c r="J271" s="128"/>
      <c r="K271" s="286"/>
      <c r="L271" s="287"/>
      <c r="M271" s="287"/>
      <c r="N271" s="286"/>
      <c r="O271" s="291"/>
      <c r="P271" s="285"/>
      <c r="R271" s="283" t="str">
        <f t="shared" si="49"/>
        <v/>
      </c>
      <c r="S271" s="283" t="str">
        <f t="shared" si="50"/>
        <v/>
      </c>
      <c r="T271" s="283" t="str">
        <f t="shared" si="51"/>
        <v/>
      </c>
      <c r="AD271" s="283" t="s">
        <v>2103</v>
      </c>
      <c r="AE271" s="283" t="s">
        <v>2102</v>
      </c>
      <c r="AF271" s="283" t="str">
        <f t="shared" si="52"/>
        <v>A679074</v>
      </c>
      <c r="AG271" s="283" t="str">
        <f>VLOOKUP(AF271,[2]AKT!$C$4:$E$324,3,FALSE)</f>
        <v>0942</v>
      </c>
    </row>
    <row r="272" spans="1:33">
      <c r="A272" s="290"/>
      <c r="B272" s="288" t="str">
        <f t="shared" si="53"/>
        <v/>
      </c>
      <c r="C272" s="290"/>
      <c r="D272" s="288" t="str">
        <f t="shared" si="54"/>
        <v/>
      </c>
      <c r="E272" s="289"/>
      <c r="F272" s="288" t="str">
        <f t="shared" si="55"/>
        <v/>
      </c>
      <c r="G272" s="288" t="str">
        <f t="shared" si="56"/>
        <v/>
      </c>
      <c r="H272" s="128"/>
      <c r="I272" s="128"/>
      <c r="J272" s="128"/>
      <c r="K272" s="286"/>
      <c r="L272" s="287"/>
      <c r="M272" s="287"/>
      <c r="N272" s="286"/>
      <c r="O272" s="291"/>
      <c r="P272" s="285"/>
      <c r="R272" s="283" t="str">
        <f t="shared" si="49"/>
        <v/>
      </c>
      <c r="S272" s="283" t="str">
        <f t="shared" si="50"/>
        <v/>
      </c>
      <c r="T272" s="283" t="str">
        <f t="shared" si="51"/>
        <v/>
      </c>
      <c r="AD272" s="283" t="s">
        <v>2101</v>
      </c>
      <c r="AE272" s="283" t="s">
        <v>2100</v>
      </c>
      <c r="AF272" s="283" t="str">
        <f t="shared" si="52"/>
        <v>A679075</v>
      </c>
      <c r="AG272" s="283" t="str">
        <f>VLOOKUP(AF272,[2]AKT!$C$4:$E$324,3,FALSE)</f>
        <v>0942</v>
      </c>
    </row>
    <row r="273" spans="1:33">
      <c r="A273" s="290"/>
      <c r="B273" s="288" t="str">
        <f t="shared" si="53"/>
        <v/>
      </c>
      <c r="C273" s="290"/>
      <c r="D273" s="288" t="str">
        <f t="shared" si="54"/>
        <v/>
      </c>
      <c r="E273" s="289"/>
      <c r="F273" s="288" t="str">
        <f t="shared" si="55"/>
        <v/>
      </c>
      <c r="G273" s="288" t="str">
        <f t="shared" si="56"/>
        <v/>
      </c>
      <c r="H273" s="128"/>
      <c r="I273" s="128"/>
      <c r="J273" s="128"/>
      <c r="K273" s="286"/>
      <c r="L273" s="287"/>
      <c r="M273" s="287"/>
      <c r="N273" s="286"/>
      <c r="O273" s="291"/>
      <c r="P273" s="285"/>
      <c r="R273" s="283" t="str">
        <f t="shared" si="49"/>
        <v/>
      </c>
      <c r="S273" s="283" t="str">
        <f t="shared" si="50"/>
        <v/>
      </c>
      <c r="T273" s="283" t="str">
        <f t="shared" si="51"/>
        <v/>
      </c>
      <c r="AD273" s="283" t="s">
        <v>2099</v>
      </c>
      <c r="AE273" s="283" t="s">
        <v>2098</v>
      </c>
      <c r="AF273" s="283" t="str">
        <f t="shared" si="52"/>
        <v>A679075</v>
      </c>
      <c r="AG273" s="283" t="str">
        <f>VLOOKUP(AF273,[2]AKT!$C$4:$E$324,3,FALSE)</f>
        <v>0942</v>
      </c>
    </row>
    <row r="274" spans="1:33">
      <c r="A274" s="290"/>
      <c r="B274" s="288" t="str">
        <f t="shared" si="53"/>
        <v/>
      </c>
      <c r="C274" s="290"/>
      <c r="D274" s="288" t="str">
        <f t="shared" si="54"/>
        <v/>
      </c>
      <c r="E274" s="289"/>
      <c r="F274" s="288" t="str">
        <f t="shared" si="55"/>
        <v/>
      </c>
      <c r="G274" s="288" t="str">
        <f t="shared" si="56"/>
        <v/>
      </c>
      <c r="H274" s="128"/>
      <c r="I274" s="128"/>
      <c r="J274" s="128"/>
      <c r="K274" s="286"/>
      <c r="L274" s="287"/>
      <c r="M274" s="287"/>
      <c r="N274" s="286"/>
      <c r="O274" s="291"/>
      <c r="P274" s="285"/>
      <c r="R274" s="283" t="str">
        <f t="shared" si="49"/>
        <v/>
      </c>
      <c r="S274" s="283" t="str">
        <f t="shared" si="50"/>
        <v/>
      </c>
      <c r="T274" s="283" t="str">
        <f t="shared" si="51"/>
        <v/>
      </c>
      <c r="AD274" s="283" t="s">
        <v>2097</v>
      </c>
      <c r="AE274" s="283" t="s">
        <v>2096</v>
      </c>
      <c r="AF274" s="283" t="str">
        <f t="shared" si="52"/>
        <v>A679075</v>
      </c>
      <c r="AG274" s="283" t="str">
        <f>VLOOKUP(AF274,[2]AKT!$C$4:$E$324,3,FALSE)</f>
        <v>0942</v>
      </c>
    </row>
    <row r="275" spans="1:33">
      <c r="A275" s="290"/>
      <c r="B275" s="288" t="str">
        <f t="shared" si="53"/>
        <v/>
      </c>
      <c r="C275" s="290"/>
      <c r="D275" s="288" t="str">
        <f t="shared" si="54"/>
        <v/>
      </c>
      <c r="E275" s="289"/>
      <c r="F275" s="288" t="str">
        <f t="shared" si="55"/>
        <v/>
      </c>
      <c r="G275" s="288" t="str">
        <f t="shared" si="56"/>
        <v/>
      </c>
      <c r="H275" s="128"/>
      <c r="I275" s="128"/>
      <c r="J275" s="128"/>
      <c r="K275" s="286"/>
      <c r="L275" s="287"/>
      <c r="M275" s="287"/>
      <c r="N275" s="286"/>
      <c r="O275" s="291"/>
      <c r="P275" s="285"/>
      <c r="R275" s="283" t="str">
        <f t="shared" si="49"/>
        <v/>
      </c>
      <c r="S275" s="283" t="str">
        <f t="shared" si="50"/>
        <v/>
      </c>
      <c r="T275" s="283" t="str">
        <f t="shared" si="51"/>
        <v/>
      </c>
      <c r="AD275" s="283" t="s">
        <v>2095</v>
      </c>
      <c r="AE275" s="283" t="s">
        <v>2094</v>
      </c>
      <c r="AF275" s="283" t="str">
        <f t="shared" si="52"/>
        <v>A679075</v>
      </c>
      <c r="AG275" s="283" t="str">
        <f>VLOOKUP(AF275,[2]AKT!$C$4:$E$324,3,FALSE)</f>
        <v>0942</v>
      </c>
    </row>
    <row r="276" spans="1:33">
      <c r="A276" s="290"/>
      <c r="B276" s="288" t="str">
        <f t="shared" si="53"/>
        <v/>
      </c>
      <c r="C276" s="290"/>
      <c r="D276" s="288" t="str">
        <f t="shared" si="54"/>
        <v/>
      </c>
      <c r="E276" s="289"/>
      <c r="F276" s="288" t="str">
        <f t="shared" si="55"/>
        <v/>
      </c>
      <c r="G276" s="288" t="str">
        <f t="shared" si="56"/>
        <v/>
      </c>
      <c r="H276" s="128"/>
      <c r="I276" s="128"/>
      <c r="J276" s="128"/>
      <c r="K276" s="286"/>
      <c r="L276" s="287"/>
      <c r="M276" s="287"/>
      <c r="N276" s="286"/>
      <c r="O276" s="291"/>
      <c r="P276" s="285"/>
      <c r="R276" s="283" t="str">
        <f t="shared" si="49"/>
        <v/>
      </c>
      <c r="S276" s="283" t="str">
        <f t="shared" si="50"/>
        <v/>
      </c>
      <c r="T276" s="283" t="str">
        <f t="shared" si="51"/>
        <v/>
      </c>
      <c r="AD276" s="283" t="s">
        <v>2093</v>
      </c>
      <c r="AE276" s="283" t="s">
        <v>2092</v>
      </c>
      <c r="AF276" s="283" t="str">
        <f t="shared" si="52"/>
        <v>A679075</v>
      </c>
      <c r="AG276" s="283" t="str">
        <f>VLOOKUP(AF276,[2]AKT!$C$4:$E$324,3,FALSE)</f>
        <v>0942</v>
      </c>
    </row>
    <row r="277" spans="1:33">
      <c r="A277" s="290"/>
      <c r="B277" s="288" t="str">
        <f t="shared" si="53"/>
        <v/>
      </c>
      <c r="C277" s="290"/>
      <c r="D277" s="288" t="str">
        <f t="shared" si="54"/>
        <v/>
      </c>
      <c r="E277" s="289"/>
      <c r="F277" s="288" t="str">
        <f t="shared" si="55"/>
        <v/>
      </c>
      <c r="G277" s="288" t="str">
        <f t="shared" si="56"/>
        <v/>
      </c>
      <c r="H277" s="128"/>
      <c r="I277" s="128"/>
      <c r="J277" s="128"/>
      <c r="K277" s="286"/>
      <c r="L277" s="287"/>
      <c r="M277" s="287"/>
      <c r="N277" s="286"/>
      <c r="O277" s="291"/>
      <c r="P277" s="285"/>
      <c r="R277" s="283" t="str">
        <f t="shared" si="49"/>
        <v/>
      </c>
      <c r="S277" s="283" t="str">
        <f t="shared" si="50"/>
        <v/>
      </c>
      <c r="T277" s="283" t="str">
        <f t="shared" si="51"/>
        <v/>
      </c>
      <c r="AD277" s="283" t="s">
        <v>2091</v>
      </c>
      <c r="AE277" s="283" t="s">
        <v>2090</v>
      </c>
      <c r="AF277" s="283" t="str">
        <f t="shared" si="52"/>
        <v>A679075</v>
      </c>
      <c r="AG277" s="283" t="str">
        <f>VLOOKUP(AF277,[2]AKT!$C$4:$E$324,3,FALSE)</f>
        <v>0942</v>
      </c>
    </row>
    <row r="278" spans="1:33">
      <c r="A278" s="290"/>
      <c r="B278" s="288" t="str">
        <f t="shared" si="53"/>
        <v/>
      </c>
      <c r="C278" s="290"/>
      <c r="D278" s="288" t="str">
        <f t="shared" si="54"/>
        <v/>
      </c>
      <c r="E278" s="289"/>
      <c r="F278" s="288" t="str">
        <f t="shared" si="55"/>
        <v/>
      </c>
      <c r="G278" s="288" t="str">
        <f t="shared" si="56"/>
        <v/>
      </c>
      <c r="H278" s="128"/>
      <c r="I278" s="128"/>
      <c r="J278" s="128"/>
      <c r="K278" s="286"/>
      <c r="L278" s="287"/>
      <c r="M278" s="287"/>
      <c r="N278" s="286"/>
      <c r="O278" s="291"/>
      <c r="P278" s="285"/>
      <c r="R278" s="283" t="str">
        <f t="shared" si="49"/>
        <v/>
      </c>
      <c r="S278" s="283" t="str">
        <f t="shared" si="50"/>
        <v/>
      </c>
      <c r="T278" s="283" t="str">
        <f t="shared" si="51"/>
        <v/>
      </c>
      <c r="AD278" s="283" t="s">
        <v>2089</v>
      </c>
      <c r="AE278" s="283" t="s">
        <v>2088</v>
      </c>
      <c r="AF278" s="283" t="str">
        <f t="shared" si="52"/>
        <v>A679075</v>
      </c>
      <c r="AG278" s="283" t="str">
        <f>VLOOKUP(AF278,[2]AKT!$C$4:$E$324,3,FALSE)</f>
        <v>0942</v>
      </c>
    </row>
    <row r="279" spans="1:33">
      <c r="A279" s="290"/>
      <c r="B279" s="288" t="str">
        <f t="shared" si="53"/>
        <v/>
      </c>
      <c r="C279" s="290"/>
      <c r="D279" s="288" t="str">
        <f t="shared" si="54"/>
        <v/>
      </c>
      <c r="E279" s="289"/>
      <c r="F279" s="288" t="str">
        <f t="shared" si="55"/>
        <v/>
      </c>
      <c r="G279" s="288" t="str">
        <f t="shared" si="56"/>
        <v/>
      </c>
      <c r="H279" s="128"/>
      <c r="I279" s="128"/>
      <c r="J279" s="128"/>
      <c r="K279" s="286"/>
      <c r="L279" s="287"/>
      <c r="M279" s="287"/>
      <c r="N279" s="286"/>
      <c r="O279" s="291"/>
      <c r="P279" s="285"/>
      <c r="R279" s="283" t="str">
        <f t="shared" si="49"/>
        <v/>
      </c>
      <c r="S279" s="283" t="str">
        <f t="shared" si="50"/>
        <v/>
      </c>
      <c r="T279" s="283" t="str">
        <f t="shared" si="51"/>
        <v/>
      </c>
      <c r="AD279" s="283" t="s">
        <v>2087</v>
      </c>
      <c r="AE279" s="283" t="s">
        <v>2086</v>
      </c>
      <c r="AF279" s="283" t="str">
        <f t="shared" si="52"/>
        <v>A679075</v>
      </c>
      <c r="AG279" s="283" t="str">
        <f>VLOOKUP(AF279,[2]AKT!$C$4:$E$324,3,FALSE)</f>
        <v>0942</v>
      </c>
    </row>
    <row r="280" spans="1:33">
      <c r="A280" s="290"/>
      <c r="B280" s="288" t="str">
        <f t="shared" si="53"/>
        <v/>
      </c>
      <c r="C280" s="290"/>
      <c r="D280" s="288" t="str">
        <f t="shared" si="54"/>
        <v/>
      </c>
      <c r="E280" s="289"/>
      <c r="F280" s="288" t="str">
        <f t="shared" si="55"/>
        <v/>
      </c>
      <c r="G280" s="288" t="str">
        <f t="shared" si="56"/>
        <v/>
      </c>
      <c r="H280" s="128"/>
      <c r="I280" s="128"/>
      <c r="J280" s="128"/>
      <c r="K280" s="286"/>
      <c r="L280" s="287"/>
      <c r="M280" s="287"/>
      <c r="N280" s="286"/>
      <c r="O280" s="291"/>
      <c r="P280" s="285"/>
      <c r="R280" s="283" t="str">
        <f t="shared" si="49"/>
        <v/>
      </c>
      <c r="S280" s="283" t="str">
        <f t="shared" si="50"/>
        <v/>
      </c>
      <c r="T280" s="283" t="str">
        <f t="shared" si="51"/>
        <v/>
      </c>
      <c r="AD280" s="283" t="s">
        <v>2085</v>
      </c>
      <c r="AE280" s="283" t="s">
        <v>2084</v>
      </c>
      <c r="AF280" s="283" t="str">
        <f t="shared" si="52"/>
        <v>A679075</v>
      </c>
      <c r="AG280" s="283" t="str">
        <f>VLOOKUP(AF280,[2]AKT!$C$4:$E$324,3,FALSE)</f>
        <v>0942</v>
      </c>
    </row>
    <row r="281" spans="1:33">
      <c r="A281" s="290"/>
      <c r="B281" s="288" t="str">
        <f t="shared" si="53"/>
        <v/>
      </c>
      <c r="C281" s="290"/>
      <c r="D281" s="288" t="str">
        <f t="shared" si="54"/>
        <v/>
      </c>
      <c r="E281" s="289"/>
      <c r="F281" s="288" t="str">
        <f t="shared" si="55"/>
        <v/>
      </c>
      <c r="G281" s="288" t="str">
        <f t="shared" si="56"/>
        <v/>
      </c>
      <c r="H281" s="128"/>
      <c r="I281" s="128"/>
      <c r="J281" s="128"/>
      <c r="K281" s="286"/>
      <c r="L281" s="287"/>
      <c r="M281" s="287"/>
      <c r="N281" s="286"/>
      <c r="O281" s="291"/>
      <c r="P281" s="285"/>
      <c r="R281" s="283" t="str">
        <f t="shared" si="49"/>
        <v/>
      </c>
      <c r="S281" s="283" t="str">
        <f t="shared" si="50"/>
        <v/>
      </c>
      <c r="T281" s="283" t="str">
        <f t="shared" si="51"/>
        <v/>
      </c>
      <c r="AD281" s="283" t="s">
        <v>2083</v>
      </c>
      <c r="AE281" s="283" t="s">
        <v>2082</v>
      </c>
      <c r="AF281" s="283" t="str">
        <f t="shared" si="52"/>
        <v>A679075</v>
      </c>
      <c r="AG281" s="283" t="str">
        <f>VLOOKUP(AF281,[2]AKT!$C$4:$E$324,3,FALSE)</f>
        <v>0942</v>
      </c>
    </row>
    <row r="282" spans="1:33">
      <c r="A282" s="290"/>
      <c r="B282" s="288" t="str">
        <f t="shared" si="53"/>
        <v/>
      </c>
      <c r="C282" s="290"/>
      <c r="D282" s="288" t="str">
        <f t="shared" si="54"/>
        <v/>
      </c>
      <c r="E282" s="289"/>
      <c r="F282" s="288" t="str">
        <f t="shared" si="55"/>
        <v/>
      </c>
      <c r="G282" s="288" t="str">
        <f t="shared" si="56"/>
        <v/>
      </c>
      <c r="H282" s="128"/>
      <c r="I282" s="128"/>
      <c r="J282" s="128"/>
      <c r="K282" s="286"/>
      <c r="L282" s="287"/>
      <c r="M282" s="287"/>
      <c r="N282" s="286"/>
      <c r="O282" s="291"/>
      <c r="P282" s="285"/>
      <c r="R282" s="283" t="str">
        <f t="shared" si="49"/>
        <v/>
      </c>
      <c r="S282" s="283" t="str">
        <f t="shared" si="50"/>
        <v/>
      </c>
      <c r="T282" s="283" t="str">
        <f t="shared" si="51"/>
        <v/>
      </c>
      <c r="AD282" s="283" t="s">
        <v>2081</v>
      </c>
      <c r="AE282" s="283" t="s">
        <v>2080</v>
      </c>
      <c r="AF282" s="283" t="str">
        <f t="shared" si="52"/>
        <v>A679075</v>
      </c>
      <c r="AG282" s="283" t="str">
        <f>VLOOKUP(AF282,[2]AKT!$C$4:$E$324,3,FALSE)</f>
        <v>0942</v>
      </c>
    </row>
    <row r="283" spans="1:33">
      <c r="A283" s="290"/>
      <c r="B283" s="288" t="str">
        <f t="shared" si="53"/>
        <v/>
      </c>
      <c r="C283" s="290"/>
      <c r="D283" s="288" t="str">
        <f t="shared" si="54"/>
        <v/>
      </c>
      <c r="E283" s="289"/>
      <c r="F283" s="288" t="str">
        <f t="shared" si="55"/>
        <v/>
      </c>
      <c r="G283" s="288" t="str">
        <f t="shared" si="56"/>
        <v/>
      </c>
      <c r="H283" s="128"/>
      <c r="I283" s="128"/>
      <c r="J283" s="128"/>
      <c r="K283" s="286"/>
      <c r="L283" s="287"/>
      <c r="M283" s="287"/>
      <c r="N283" s="286"/>
      <c r="O283" s="291"/>
      <c r="P283" s="285"/>
      <c r="R283" s="283" t="str">
        <f t="shared" si="49"/>
        <v/>
      </c>
      <c r="S283" s="283" t="str">
        <f t="shared" si="50"/>
        <v/>
      </c>
      <c r="T283" s="283" t="str">
        <f t="shared" si="51"/>
        <v/>
      </c>
      <c r="AD283" s="283" t="s">
        <v>2079</v>
      </c>
      <c r="AE283" s="283" t="s">
        <v>2078</v>
      </c>
      <c r="AF283" s="283" t="str">
        <f t="shared" si="52"/>
        <v>A679075</v>
      </c>
      <c r="AG283" s="283" t="str">
        <f>VLOOKUP(AF283,[2]AKT!$C$4:$E$324,3,FALSE)</f>
        <v>0942</v>
      </c>
    </row>
    <row r="284" spans="1:33">
      <c r="A284" s="290"/>
      <c r="B284" s="288" t="str">
        <f t="shared" si="53"/>
        <v/>
      </c>
      <c r="C284" s="290"/>
      <c r="D284" s="288" t="str">
        <f t="shared" si="54"/>
        <v/>
      </c>
      <c r="E284" s="289"/>
      <c r="F284" s="288" t="str">
        <f t="shared" si="55"/>
        <v/>
      </c>
      <c r="G284" s="288" t="str">
        <f t="shared" si="56"/>
        <v/>
      </c>
      <c r="H284" s="128"/>
      <c r="I284" s="128"/>
      <c r="J284" s="128"/>
      <c r="K284" s="286"/>
      <c r="L284" s="287"/>
      <c r="M284" s="287"/>
      <c r="N284" s="286"/>
      <c r="O284" s="291"/>
      <c r="P284" s="285"/>
      <c r="R284" s="283" t="str">
        <f t="shared" si="49"/>
        <v/>
      </c>
      <c r="S284" s="283" t="str">
        <f t="shared" si="50"/>
        <v/>
      </c>
      <c r="T284" s="283" t="str">
        <f t="shared" si="51"/>
        <v/>
      </c>
      <c r="AD284" s="283" t="s">
        <v>2077</v>
      </c>
      <c r="AE284" s="283" t="s">
        <v>2076</v>
      </c>
      <c r="AF284" s="283" t="str">
        <f t="shared" si="52"/>
        <v>A679075</v>
      </c>
      <c r="AG284" s="283" t="str">
        <f>VLOOKUP(AF284,[2]AKT!$C$4:$E$324,3,FALSE)</f>
        <v>0942</v>
      </c>
    </row>
    <row r="285" spans="1:33">
      <c r="A285" s="290"/>
      <c r="B285" s="288" t="str">
        <f t="shared" si="53"/>
        <v/>
      </c>
      <c r="C285" s="290"/>
      <c r="D285" s="288" t="str">
        <f t="shared" si="54"/>
        <v/>
      </c>
      <c r="E285" s="289"/>
      <c r="F285" s="288" t="str">
        <f t="shared" si="55"/>
        <v/>
      </c>
      <c r="G285" s="288" t="str">
        <f t="shared" si="56"/>
        <v/>
      </c>
      <c r="H285" s="128"/>
      <c r="I285" s="128"/>
      <c r="J285" s="128"/>
      <c r="K285" s="286"/>
      <c r="L285" s="287"/>
      <c r="M285" s="287"/>
      <c r="N285" s="286"/>
      <c r="O285" s="291"/>
      <c r="P285" s="285"/>
      <c r="R285" s="283" t="str">
        <f t="shared" si="49"/>
        <v/>
      </c>
      <c r="S285" s="283" t="str">
        <f t="shared" si="50"/>
        <v/>
      </c>
      <c r="T285" s="283" t="str">
        <f t="shared" si="51"/>
        <v/>
      </c>
      <c r="AD285" s="283" t="s">
        <v>2075</v>
      </c>
      <c r="AE285" s="283" t="s">
        <v>2074</v>
      </c>
      <c r="AF285" s="283" t="str">
        <f t="shared" si="52"/>
        <v>A679075</v>
      </c>
      <c r="AG285" s="283" t="str">
        <f>VLOOKUP(AF285,[2]AKT!$C$4:$E$324,3,FALSE)</f>
        <v>0942</v>
      </c>
    </row>
    <row r="286" spans="1:33">
      <c r="A286" s="290"/>
      <c r="B286" s="288" t="str">
        <f t="shared" si="53"/>
        <v/>
      </c>
      <c r="C286" s="290"/>
      <c r="D286" s="288" t="str">
        <f t="shared" si="54"/>
        <v/>
      </c>
      <c r="E286" s="289"/>
      <c r="F286" s="288" t="str">
        <f t="shared" si="55"/>
        <v/>
      </c>
      <c r="G286" s="288" t="str">
        <f t="shared" si="56"/>
        <v/>
      </c>
      <c r="H286" s="128"/>
      <c r="I286" s="128"/>
      <c r="J286" s="128"/>
      <c r="K286" s="286"/>
      <c r="L286" s="287"/>
      <c r="M286" s="287"/>
      <c r="N286" s="286"/>
      <c r="O286" s="291"/>
      <c r="P286" s="285"/>
      <c r="R286" s="283" t="str">
        <f t="shared" si="49"/>
        <v/>
      </c>
      <c r="S286" s="283" t="str">
        <f t="shared" si="50"/>
        <v/>
      </c>
      <c r="T286" s="283" t="str">
        <f t="shared" si="51"/>
        <v/>
      </c>
      <c r="AD286" s="283" t="s">
        <v>2073</v>
      </c>
      <c r="AE286" s="283" t="s">
        <v>2065</v>
      </c>
      <c r="AF286" s="283" t="str">
        <f t="shared" si="52"/>
        <v>A679075</v>
      </c>
      <c r="AG286" s="283" t="str">
        <f>VLOOKUP(AF286,[2]AKT!$C$4:$E$324,3,FALSE)</f>
        <v>0942</v>
      </c>
    </row>
    <row r="287" spans="1:33">
      <c r="A287" s="290"/>
      <c r="B287" s="288" t="str">
        <f t="shared" si="53"/>
        <v/>
      </c>
      <c r="C287" s="290"/>
      <c r="D287" s="288" t="str">
        <f t="shared" si="54"/>
        <v/>
      </c>
      <c r="E287" s="289"/>
      <c r="F287" s="288" t="str">
        <f t="shared" si="55"/>
        <v/>
      </c>
      <c r="G287" s="288" t="str">
        <f t="shared" si="56"/>
        <v/>
      </c>
      <c r="H287" s="128"/>
      <c r="I287" s="128"/>
      <c r="J287" s="128"/>
      <c r="K287" s="286"/>
      <c r="L287" s="287"/>
      <c r="M287" s="287"/>
      <c r="N287" s="286"/>
      <c r="O287" s="291"/>
      <c r="P287" s="285"/>
      <c r="R287" s="283" t="str">
        <f t="shared" si="49"/>
        <v/>
      </c>
      <c r="S287" s="283" t="str">
        <f t="shared" si="50"/>
        <v/>
      </c>
      <c r="T287" s="283" t="str">
        <f t="shared" si="51"/>
        <v/>
      </c>
      <c r="AD287" s="283" t="s">
        <v>2072</v>
      </c>
      <c r="AE287" s="283" t="s">
        <v>2071</v>
      </c>
      <c r="AF287" s="283" t="str">
        <f t="shared" si="52"/>
        <v>A679075</v>
      </c>
      <c r="AG287" s="283" t="str">
        <f>VLOOKUP(AF287,[2]AKT!$C$4:$E$324,3,FALSE)</f>
        <v>0942</v>
      </c>
    </row>
    <row r="288" spans="1:33">
      <c r="A288" s="290"/>
      <c r="B288" s="288" t="str">
        <f t="shared" si="53"/>
        <v/>
      </c>
      <c r="C288" s="290"/>
      <c r="D288" s="288" t="str">
        <f t="shared" si="54"/>
        <v/>
      </c>
      <c r="E288" s="289"/>
      <c r="F288" s="288" t="str">
        <f t="shared" si="55"/>
        <v/>
      </c>
      <c r="G288" s="288" t="str">
        <f t="shared" si="56"/>
        <v/>
      </c>
      <c r="H288" s="128"/>
      <c r="I288" s="128"/>
      <c r="J288" s="128"/>
      <c r="K288" s="286"/>
      <c r="L288" s="287"/>
      <c r="M288" s="287"/>
      <c r="N288" s="286"/>
      <c r="O288" s="291"/>
      <c r="P288" s="285"/>
      <c r="R288" s="283" t="str">
        <f t="shared" si="49"/>
        <v/>
      </c>
      <c r="S288" s="283" t="str">
        <f t="shared" si="50"/>
        <v/>
      </c>
      <c r="T288" s="283" t="str">
        <f t="shared" si="51"/>
        <v/>
      </c>
      <c r="AD288" s="283" t="s">
        <v>2070</v>
      </c>
      <c r="AE288" s="283" t="s">
        <v>2069</v>
      </c>
      <c r="AF288" s="283" t="str">
        <f t="shared" si="52"/>
        <v>A679075</v>
      </c>
      <c r="AG288" s="283" t="str">
        <f>VLOOKUP(AF288,[2]AKT!$C$4:$E$324,3,FALSE)</f>
        <v>0942</v>
      </c>
    </row>
    <row r="289" spans="1:33">
      <c r="A289" s="290"/>
      <c r="B289" s="288" t="str">
        <f t="shared" si="53"/>
        <v/>
      </c>
      <c r="C289" s="290"/>
      <c r="D289" s="288" t="str">
        <f t="shared" si="54"/>
        <v/>
      </c>
      <c r="E289" s="289"/>
      <c r="F289" s="288" t="str">
        <f t="shared" si="55"/>
        <v/>
      </c>
      <c r="G289" s="288" t="str">
        <f t="shared" si="56"/>
        <v/>
      </c>
      <c r="H289" s="128"/>
      <c r="I289" s="128"/>
      <c r="J289" s="128"/>
      <c r="K289" s="286"/>
      <c r="L289" s="287"/>
      <c r="M289" s="287"/>
      <c r="N289" s="286"/>
      <c r="O289" s="291"/>
      <c r="P289" s="285"/>
      <c r="R289" s="283" t="str">
        <f t="shared" si="49"/>
        <v/>
      </c>
      <c r="S289" s="283" t="str">
        <f t="shared" si="50"/>
        <v/>
      </c>
      <c r="T289" s="283" t="str">
        <f t="shared" si="51"/>
        <v/>
      </c>
      <c r="AD289" s="283" t="s">
        <v>2068</v>
      </c>
      <c r="AE289" s="283" t="s">
        <v>2067</v>
      </c>
      <c r="AF289" s="283" t="str">
        <f t="shared" si="52"/>
        <v>A679075</v>
      </c>
      <c r="AG289" s="283" t="str">
        <f>VLOOKUP(AF289,[2]AKT!$C$4:$E$324,3,FALSE)</f>
        <v>0942</v>
      </c>
    </row>
    <row r="290" spans="1:33">
      <c r="A290" s="290"/>
      <c r="B290" s="288" t="str">
        <f t="shared" si="53"/>
        <v/>
      </c>
      <c r="C290" s="290"/>
      <c r="D290" s="288" t="str">
        <f t="shared" si="54"/>
        <v/>
      </c>
      <c r="E290" s="289"/>
      <c r="F290" s="288" t="str">
        <f t="shared" si="55"/>
        <v/>
      </c>
      <c r="G290" s="288" t="str">
        <f t="shared" si="56"/>
        <v/>
      </c>
      <c r="H290" s="128"/>
      <c r="I290" s="128"/>
      <c r="J290" s="128"/>
      <c r="K290" s="286"/>
      <c r="L290" s="287"/>
      <c r="M290" s="287"/>
      <c r="N290" s="286"/>
      <c r="O290" s="291"/>
      <c r="P290" s="285"/>
      <c r="R290" s="283" t="str">
        <f t="shared" si="49"/>
        <v/>
      </c>
      <c r="S290" s="283" t="str">
        <f t="shared" si="50"/>
        <v/>
      </c>
      <c r="T290" s="283" t="str">
        <f t="shared" si="51"/>
        <v/>
      </c>
      <c r="AD290" s="283" t="s">
        <v>2066</v>
      </c>
      <c r="AE290" s="283" t="s">
        <v>2065</v>
      </c>
      <c r="AF290" s="283" t="str">
        <f t="shared" si="52"/>
        <v>A679075</v>
      </c>
      <c r="AG290" s="283" t="str">
        <f>VLOOKUP(AF290,[2]AKT!$C$4:$E$324,3,FALSE)</f>
        <v>0942</v>
      </c>
    </row>
    <row r="291" spans="1:33">
      <c r="A291" s="290"/>
      <c r="B291" s="288" t="str">
        <f t="shared" si="53"/>
        <v/>
      </c>
      <c r="C291" s="290"/>
      <c r="D291" s="288" t="str">
        <f t="shared" si="54"/>
        <v/>
      </c>
      <c r="E291" s="289"/>
      <c r="F291" s="288" t="str">
        <f t="shared" si="55"/>
        <v/>
      </c>
      <c r="G291" s="288" t="str">
        <f t="shared" si="56"/>
        <v/>
      </c>
      <c r="H291" s="128"/>
      <c r="I291" s="128"/>
      <c r="J291" s="128"/>
      <c r="K291" s="286"/>
      <c r="L291" s="287"/>
      <c r="M291" s="287"/>
      <c r="N291" s="286"/>
      <c r="O291" s="291"/>
      <c r="P291" s="285"/>
      <c r="R291" s="283" t="str">
        <f t="shared" si="49"/>
        <v/>
      </c>
      <c r="S291" s="283" t="str">
        <f t="shared" si="50"/>
        <v/>
      </c>
      <c r="T291" s="283" t="str">
        <f t="shared" si="51"/>
        <v/>
      </c>
      <c r="AD291" s="283" t="s">
        <v>2064</v>
      </c>
      <c r="AE291" s="283" t="s">
        <v>2063</v>
      </c>
      <c r="AF291" s="283" t="str">
        <f t="shared" si="52"/>
        <v>A679075</v>
      </c>
      <c r="AG291" s="283" t="str">
        <f>VLOOKUP(AF291,[2]AKT!$C$4:$E$324,3,FALSE)</f>
        <v>0942</v>
      </c>
    </row>
    <row r="292" spans="1:33">
      <c r="A292" s="290"/>
      <c r="B292" s="288" t="str">
        <f t="shared" si="53"/>
        <v/>
      </c>
      <c r="C292" s="290"/>
      <c r="D292" s="288" t="str">
        <f t="shared" si="54"/>
        <v/>
      </c>
      <c r="E292" s="289"/>
      <c r="F292" s="288" t="str">
        <f t="shared" si="55"/>
        <v/>
      </c>
      <c r="G292" s="288" t="str">
        <f t="shared" si="56"/>
        <v/>
      </c>
      <c r="H292" s="128"/>
      <c r="I292" s="128"/>
      <c r="J292" s="128"/>
      <c r="K292" s="286"/>
      <c r="L292" s="287"/>
      <c r="M292" s="287"/>
      <c r="N292" s="286"/>
      <c r="O292" s="291"/>
      <c r="P292" s="285"/>
      <c r="R292" s="283" t="str">
        <f t="shared" si="49"/>
        <v/>
      </c>
      <c r="S292" s="283" t="str">
        <f t="shared" si="50"/>
        <v/>
      </c>
      <c r="T292" s="283" t="str">
        <f t="shared" si="51"/>
        <v/>
      </c>
      <c r="AD292" s="283" t="s">
        <v>2062</v>
      </c>
      <c r="AE292" s="283" t="s">
        <v>2061</v>
      </c>
      <c r="AF292" s="283" t="str">
        <f t="shared" si="52"/>
        <v>A679075</v>
      </c>
      <c r="AG292" s="283" t="str">
        <f>VLOOKUP(AF292,[2]AKT!$C$4:$E$324,3,FALSE)</f>
        <v>0942</v>
      </c>
    </row>
    <row r="293" spans="1:33">
      <c r="A293" s="290"/>
      <c r="B293" s="288" t="str">
        <f t="shared" si="53"/>
        <v/>
      </c>
      <c r="C293" s="290"/>
      <c r="D293" s="288" t="str">
        <f t="shared" si="54"/>
        <v/>
      </c>
      <c r="E293" s="289"/>
      <c r="F293" s="288" t="str">
        <f t="shared" si="55"/>
        <v/>
      </c>
      <c r="G293" s="288" t="str">
        <f t="shared" si="56"/>
        <v/>
      </c>
      <c r="H293" s="128"/>
      <c r="I293" s="128"/>
      <c r="J293" s="128"/>
      <c r="K293" s="286"/>
      <c r="L293" s="287"/>
      <c r="M293" s="287"/>
      <c r="N293" s="286"/>
      <c r="O293" s="291"/>
      <c r="P293" s="285"/>
      <c r="R293" s="283" t="str">
        <f t="shared" si="49"/>
        <v/>
      </c>
      <c r="S293" s="283" t="str">
        <f t="shared" si="50"/>
        <v/>
      </c>
      <c r="T293" s="283" t="str">
        <f t="shared" si="51"/>
        <v/>
      </c>
      <c r="AD293" s="283" t="s">
        <v>2060</v>
      </c>
      <c r="AE293" s="283" t="s">
        <v>954</v>
      </c>
      <c r="AF293" s="283" t="str">
        <f t="shared" si="52"/>
        <v>A679075</v>
      </c>
      <c r="AG293" s="283" t="str">
        <f>VLOOKUP(AF293,[2]AKT!$C$4:$E$324,3,FALSE)</f>
        <v>0942</v>
      </c>
    </row>
    <row r="294" spans="1:33">
      <c r="A294" s="290"/>
      <c r="B294" s="288" t="str">
        <f t="shared" si="53"/>
        <v/>
      </c>
      <c r="C294" s="290"/>
      <c r="D294" s="288" t="str">
        <f t="shared" si="54"/>
        <v/>
      </c>
      <c r="E294" s="289"/>
      <c r="F294" s="288" t="str">
        <f t="shared" si="55"/>
        <v/>
      </c>
      <c r="G294" s="288" t="str">
        <f t="shared" si="56"/>
        <v/>
      </c>
      <c r="H294" s="128"/>
      <c r="I294" s="128"/>
      <c r="J294" s="128"/>
      <c r="K294" s="286"/>
      <c r="L294" s="287"/>
      <c r="M294" s="287"/>
      <c r="N294" s="286"/>
      <c r="O294" s="291"/>
      <c r="P294" s="285"/>
      <c r="R294" s="283" t="str">
        <f t="shared" si="49"/>
        <v/>
      </c>
      <c r="S294" s="283" t="str">
        <f t="shared" si="50"/>
        <v/>
      </c>
      <c r="T294" s="283" t="str">
        <f t="shared" si="51"/>
        <v/>
      </c>
      <c r="AD294" s="283" t="s">
        <v>2059</v>
      </c>
      <c r="AE294" s="283" t="s">
        <v>2058</v>
      </c>
      <c r="AF294" s="283" t="str">
        <f t="shared" si="52"/>
        <v>A679075</v>
      </c>
      <c r="AG294" s="283" t="str">
        <f>VLOOKUP(AF294,[2]AKT!$C$4:$E$324,3,FALSE)</f>
        <v>0942</v>
      </c>
    </row>
    <row r="295" spans="1:33">
      <c r="A295" s="290"/>
      <c r="B295" s="288" t="str">
        <f t="shared" si="53"/>
        <v/>
      </c>
      <c r="C295" s="290"/>
      <c r="D295" s="288" t="str">
        <f t="shared" si="54"/>
        <v/>
      </c>
      <c r="E295" s="289"/>
      <c r="F295" s="288" t="str">
        <f t="shared" si="55"/>
        <v/>
      </c>
      <c r="G295" s="288" t="str">
        <f t="shared" si="56"/>
        <v/>
      </c>
      <c r="H295" s="128"/>
      <c r="I295" s="128"/>
      <c r="J295" s="128"/>
      <c r="K295" s="286"/>
      <c r="L295" s="287"/>
      <c r="M295" s="287"/>
      <c r="N295" s="286"/>
      <c r="O295" s="291"/>
      <c r="P295" s="285"/>
      <c r="R295" s="283" t="str">
        <f t="shared" si="49"/>
        <v/>
      </c>
      <c r="S295" s="283" t="str">
        <f t="shared" si="50"/>
        <v/>
      </c>
      <c r="T295" s="283" t="str">
        <f t="shared" si="51"/>
        <v/>
      </c>
      <c r="AD295" s="283" t="s">
        <v>2057</v>
      </c>
      <c r="AE295" s="283" t="s">
        <v>2056</v>
      </c>
      <c r="AF295" s="283" t="str">
        <f t="shared" si="52"/>
        <v>A679076</v>
      </c>
      <c r="AG295" s="283" t="str">
        <f>VLOOKUP(AF295,[2]AKT!$C$4:$E$324,3,FALSE)</f>
        <v>0942</v>
      </c>
    </row>
    <row r="296" spans="1:33">
      <c r="A296" s="290"/>
      <c r="B296" s="288" t="str">
        <f t="shared" si="53"/>
        <v/>
      </c>
      <c r="C296" s="290"/>
      <c r="D296" s="288" t="str">
        <f t="shared" si="54"/>
        <v/>
      </c>
      <c r="E296" s="289"/>
      <c r="F296" s="288" t="str">
        <f t="shared" si="55"/>
        <v/>
      </c>
      <c r="G296" s="288" t="str">
        <f t="shared" si="56"/>
        <v/>
      </c>
      <c r="H296" s="128"/>
      <c r="I296" s="128"/>
      <c r="J296" s="128"/>
      <c r="K296" s="286"/>
      <c r="L296" s="287"/>
      <c r="M296" s="287"/>
      <c r="N296" s="286"/>
      <c r="O296" s="291"/>
      <c r="P296" s="285"/>
      <c r="R296" s="283" t="str">
        <f t="shared" si="49"/>
        <v/>
      </c>
      <c r="S296" s="283" t="str">
        <f t="shared" si="50"/>
        <v/>
      </c>
      <c r="T296" s="283" t="str">
        <f t="shared" si="51"/>
        <v/>
      </c>
      <c r="AD296" s="283" t="s">
        <v>2055</v>
      </c>
      <c r="AE296" s="283" t="s">
        <v>2054</v>
      </c>
      <c r="AF296" s="283" t="str">
        <f t="shared" si="52"/>
        <v>A679076</v>
      </c>
      <c r="AG296" s="283" t="str">
        <f>VLOOKUP(AF296,[2]AKT!$C$4:$E$324,3,FALSE)</f>
        <v>0942</v>
      </c>
    </row>
    <row r="297" spans="1:33">
      <c r="A297" s="290"/>
      <c r="B297" s="288" t="str">
        <f t="shared" si="53"/>
        <v/>
      </c>
      <c r="C297" s="290"/>
      <c r="D297" s="288" t="str">
        <f t="shared" si="54"/>
        <v/>
      </c>
      <c r="E297" s="289"/>
      <c r="F297" s="288" t="str">
        <f t="shared" si="55"/>
        <v/>
      </c>
      <c r="G297" s="288" t="str">
        <f t="shared" si="56"/>
        <v/>
      </c>
      <c r="H297" s="128"/>
      <c r="I297" s="128"/>
      <c r="J297" s="128"/>
      <c r="K297" s="286"/>
      <c r="L297" s="287"/>
      <c r="M297" s="287"/>
      <c r="N297" s="286"/>
      <c r="O297" s="291"/>
      <c r="P297" s="285"/>
      <c r="R297" s="283" t="str">
        <f t="shared" si="49"/>
        <v/>
      </c>
      <c r="S297" s="283" t="str">
        <f t="shared" si="50"/>
        <v/>
      </c>
      <c r="T297" s="283" t="str">
        <f t="shared" si="51"/>
        <v/>
      </c>
      <c r="AD297" s="283" t="s">
        <v>2053</v>
      </c>
      <c r="AE297" s="283" t="s">
        <v>2052</v>
      </c>
      <c r="AF297" s="283" t="str">
        <f t="shared" si="52"/>
        <v>A679076</v>
      </c>
      <c r="AG297" s="283" t="str">
        <f>VLOOKUP(AF297,[2]AKT!$C$4:$E$324,3,FALSE)</f>
        <v>0942</v>
      </c>
    </row>
    <row r="298" spans="1:33">
      <c r="A298" s="290"/>
      <c r="B298" s="288" t="str">
        <f t="shared" si="53"/>
        <v/>
      </c>
      <c r="C298" s="290"/>
      <c r="D298" s="288" t="str">
        <f t="shared" si="54"/>
        <v/>
      </c>
      <c r="E298" s="289"/>
      <c r="F298" s="288" t="str">
        <f t="shared" si="55"/>
        <v/>
      </c>
      <c r="G298" s="288" t="str">
        <f t="shared" si="56"/>
        <v/>
      </c>
      <c r="H298" s="128"/>
      <c r="I298" s="128"/>
      <c r="J298" s="128"/>
      <c r="K298" s="286"/>
      <c r="L298" s="287"/>
      <c r="M298" s="287"/>
      <c r="N298" s="286"/>
      <c r="O298" s="291"/>
      <c r="P298" s="285"/>
      <c r="R298" s="283" t="str">
        <f t="shared" si="49"/>
        <v/>
      </c>
      <c r="S298" s="283" t="str">
        <f t="shared" si="50"/>
        <v/>
      </c>
      <c r="T298" s="283" t="str">
        <f t="shared" si="51"/>
        <v/>
      </c>
      <c r="AD298" s="283" t="s">
        <v>2051</v>
      </c>
      <c r="AE298" s="283" t="s">
        <v>2050</v>
      </c>
      <c r="AF298" s="283" t="str">
        <f t="shared" si="52"/>
        <v>A679076</v>
      </c>
      <c r="AG298" s="283" t="str">
        <f>VLOOKUP(AF298,[2]AKT!$C$4:$E$324,3,FALSE)</f>
        <v>0942</v>
      </c>
    </row>
    <row r="299" spans="1:33">
      <c r="A299" s="290"/>
      <c r="B299" s="288" t="str">
        <f t="shared" si="53"/>
        <v/>
      </c>
      <c r="C299" s="290"/>
      <c r="D299" s="288" t="str">
        <f t="shared" si="54"/>
        <v/>
      </c>
      <c r="E299" s="289"/>
      <c r="F299" s="288" t="str">
        <f t="shared" si="55"/>
        <v/>
      </c>
      <c r="G299" s="288" t="str">
        <f t="shared" si="56"/>
        <v/>
      </c>
      <c r="H299" s="128"/>
      <c r="I299" s="128"/>
      <c r="J299" s="128"/>
      <c r="K299" s="286"/>
      <c r="L299" s="287"/>
      <c r="M299" s="287"/>
      <c r="N299" s="286"/>
      <c r="O299" s="291"/>
      <c r="P299" s="285"/>
      <c r="R299" s="283" t="str">
        <f t="shared" si="49"/>
        <v/>
      </c>
      <c r="S299" s="283" t="str">
        <f t="shared" si="50"/>
        <v/>
      </c>
      <c r="T299" s="283" t="str">
        <f t="shared" si="51"/>
        <v/>
      </c>
      <c r="AD299" s="283" t="s">
        <v>2049</v>
      </c>
      <c r="AE299" s="283" t="s">
        <v>2048</v>
      </c>
      <c r="AF299" s="283" t="str">
        <f t="shared" si="52"/>
        <v>A679076</v>
      </c>
      <c r="AG299" s="283" t="str">
        <f>VLOOKUP(AF299,[2]AKT!$C$4:$E$324,3,FALSE)</f>
        <v>0942</v>
      </c>
    </row>
    <row r="300" spans="1:33">
      <c r="A300" s="290"/>
      <c r="B300" s="288" t="str">
        <f t="shared" si="53"/>
        <v/>
      </c>
      <c r="C300" s="290"/>
      <c r="D300" s="288" t="str">
        <f t="shared" si="54"/>
        <v/>
      </c>
      <c r="E300" s="289"/>
      <c r="F300" s="288" t="str">
        <f t="shared" si="55"/>
        <v/>
      </c>
      <c r="G300" s="288" t="str">
        <f t="shared" si="56"/>
        <v/>
      </c>
      <c r="H300" s="128"/>
      <c r="I300" s="128"/>
      <c r="J300" s="128"/>
      <c r="K300" s="286"/>
      <c r="L300" s="287"/>
      <c r="M300" s="287"/>
      <c r="N300" s="286"/>
      <c r="O300" s="291"/>
      <c r="P300" s="285"/>
      <c r="R300" s="283" t="str">
        <f t="shared" si="49"/>
        <v/>
      </c>
      <c r="S300" s="283" t="str">
        <f t="shared" si="50"/>
        <v/>
      </c>
      <c r="T300" s="283" t="str">
        <f t="shared" si="51"/>
        <v/>
      </c>
      <c r="AD300" s="283" t="s">
        <v>2047</v>
      </c>
      <c r="AE300" s="283" t="s">
        <v>2046</v>
      </c>
      <c r="AF300" s="283" t="str">
        <f t="shared" si="52"/>
        <v>A679076</v>
      </c>
      <c r="AG300" s="283" t="str">
        <f>VLOOKUP(AF300,[2]AKT!$C$4:$E$324,3,FALSE)</f>
        <v>0942</v>
      </c>
    </row>
    <row r="301" spans="1:33">
      <c r="A301" s="290"/>
      <c r="B301" s="288" t="str">
        <f t="shared" si="53"/>
        <v/>
      </c>
      <c r="C301" s="290"/>
      <c r="D301" s="288" t="str">
        <f t="shared" si="54"/>
        <v/>
      </c>
      <c r="E301" s="289"/>
      <c r="F301" s="288" t="str">
        <f t="shared" si="55"/>
        <v/>
      </c>
      <c r="G301" s="288" t="str">
        <f t="shared" si="56"/>
        <v/>
      </c>
      <c r="H301" s="128"/>
      <c r="I301" s="128"/>
      <c r="J301" s="128"/>
      <c r="K301" s="286"/>
      <c r="L301" s="287"/>
      <c r="M301" s="287"/>
      <c r="N301" s="286"/>
      <c r="O301" s="291"/>
      <c r="P301" s="285"/>
      <c r="R301" s="283" t="str">
        <f t="shared" si="49"/>
        <v/>
      </c>
      <c r="S301" s="283" t="str">
        <f t="shared" si="50"/>
        <v/>
      </c>
      <c r="T301" s="283" t="str">
        <f t="shared" si="51"/>
        <v/>
      </c>
      <c r="AD301" s="283" t="s">
        <v>2045</v>
      </c>
      <c r="AE301" s="283" t="s">
        <v>2044</v>
      </c>
      <c r="AF301" s="283" t="str">
        <f t="shared" si="52"/>
        <v>A679076</v>
      </c>
      <c r="AG301" s="283" t="str">
        <f>VLOOKUP(AF301,[2]AKT!$C$4:$E$324,3,FALSE)</f>
        <v>0942</v>
      </c>
    </row>
    <row r="302" spans="1:33">
      <c r="A302" s="290"/>
      <c r="B302" s="288" t="str">
        <f t="shared" si="53"/>
        <v/>
      </c>
      <c r="C302" s="290"/>
      <c r="D302" s="288" t="str">
        <f t="shared" si="54"/>
        <v/>
      </c>
      <c r="E302" s="289"/>
      <c r="F302" s="288" t="str">
        <f t="shared" si="55"/>
        <v/>
      </c>
      <c r="G302" s="288" t="str">
        <f t="shared" si="56"/>
        <v/>
      </c>
      <c r="H302" s="128"/>
      <c r="I302" s="128"/>
      <c r="J302" s="128"/>
      <c r="K302" s="286"/>
      <c r="L302" s="287"/>
      <c r="M302" s="287"/>
      <c r="N302" s="286"/>
      <c r="O302" s="291"/>
      <c r="P302" s="285"/>
      <c r="R302" s="283" t="str">
        <f t="shared" si="49"/>
        <v/>
      </c>
      <c r="S302" s="283" t="str">
        <f t="shared" si="50"/>
        <v/>
      </c>
      <c r="T302" s="283" t="str">
        <f t="shared" si="51"/>
        <v/>
      </c>
      <c r="AD302" s="283" t="s">
        <v>2043</v>
      </c>
      <c r="AE302" s="283" t="s">
        <v>2042</v>
      </c>
      <c r="AF302" s="283" t="str">
        <f t="shared" si="52"/>
        <v>A679076</v>
      </c>
      <c r="AG302" s="283" t="str">
        <f>VLOOKUP(AF302,[2]AKT!$C$4:$E$324,3,FALSE)</f>
        <v>0942</v>
      </c>
    </row>
    <row r="303" spans="1:33">
      <c r="A303" s="290"/>
      <c r="B303" s="288" t="str">
        <f t="shared" si="53"/>
        <v/>
      </c>
      <c r="C303" s="290"/>
      <c r="D303" s="288" t="str">
        <f t="shared" si="54"/>
        <v/>
      </c>
      <c r="E303" s="289"/>
      <c r="F303" s="288" t="str">
        <f t="shared" si="55"/>
        <v/>
      </c>
      <c r="G303" s="288" t="str">
        <f t="shared" si="56"/>
        <v/>
      </c>
      <c r="H303" s="128"/>
      <c r="I303" s="128"/>
      <c r="J303" s="128"/>
      <c r="K303" s="286"/>
      <c r="L303" s="287"/>
      <c r="M303" s="287"/>
      <c r="N303" s="286"/>
      <c r="O303" s="291"/>
      <c r="P303" s="285"/>
      <c r="R303" s="283" t="str">
        <f t="shared" si="49"/>
        <v/>
      </c>
      <c r="S303" s="283" t="str">
        <f t="shared" si="50"/>
        <v/>
      </c>
      <c r="T303" s="283" t="str">
        <f t="shared" si="51"/>
        <v/>
      </c>
      <c r="AD303" s="283" t="s">
        <v>2041</v>
      </c>
      <c r="AE303" s="283" t="s">
        <v>2040</v>
      </c>
      <c r="AF303" s="283" t="str">
        <f t="shared" si="52"/>
        <v>A679076</v>
      </c>
      <c r="AG303" s="283" t="str">
        <f>VLOOKUP(AF303,[2]AKT!$C$4:$E$324,3,FALSE)</f>
        <v>0942</v>
      </c>
    </row>
    <row r="304" spans="1:33">
      <c r="A304" s="290"/>
      <c r="B304" s="288" t="str">
        <f t="shared" si="53"/>
        <v/>
      </c>
      <c r="C304" s="290"/>
      <c r="D304" s="288" t="str">
        <f t="shared" si="54"/>
        <v/>
      </c>
      <c r="E304" s="289"/>
      <c r="F304" s="288" t="str">
        <f t="shared" si="55"/>
        <v/>
      </c>
      <c r="G304" s="288" t="str">
        <f t="shared" si="56"/>
        <v/>
      </c>
      <c r="H304" s="128"/>
      <c r="I304" s="128"/>
      <c r="J304" s="128"/>
      <c r="K304" s="286"/>
      <c r="L304" s="287"/>
      <c r="M304" s="287"/>
      <c r="N304" s="286"/>
      <c r="O304" s="291"/>
      <c r="P304" s="285"/>
      <c r="R304" s="283" t="str">
        <f t="shared" si="49"/>
        <v/>
      </c>
      <c r="S304" s="283" t="str">
        <f t="shared" si="50"/>
        <v/>
      </c>
      <c r="T304" s="283" t="str">
        <f t="shared" si="51"/>
        <v/>
      </c>
      <c r="AD304" s="283" t="s">
        <v>2039</v>
      </c>
      <c r="AE304" s="283" t="s">
        <v>2038</v>
      </c>
      <c r="AF304" s="283" t="str">
        <f t="shared" si="52"/>
        <v>A679076</v>
      </c>
      <c r="AG304" s="283" t="str">
        <f>VLOOKUP(AF304,[2]AKT!$C$4:$E$324,3,FALSE)</f>
        <v>0942</v>
      </c>
    </row>
    <row r="305" spans="1:33">
      <c r="A305" s="290"/>
      <c r="B305" s="288" t="str">
        <f t="shared" si="53"/>
        <v/>
      </c>
      <c r="C305" s="290"/>
      <c r="D305" s="288" t="str">
        <f t="shared" si="54"/>
        <v/>
      </c>
      <c r="E305" s="289"/>
      <c r="F305" s="288" t="str">
        <f t="shared" si="55"/>
        <v/>
      </c>
      <c r="G305" s="288" t="str">
        <f t="shared" si="56"/>
        <v/>
      </c>
      <c r="H305" s="128"/>
      <c r="I305" s="128"/>
      <c r="J305" s="128"/>
      <c r="K305" s="286"/>
      <c r="L305" s="287"/>
      <c r="M305" s="287"/>
      <c r="N305" s="286"/>
      <c r="O305" s="291"/>
      <c r="P305" s="285"/>
      <c r="R305" s="283" t="str">
        <f t="shared" si="49"/>
        <v/>
      </c>
      <c r="S305" s="283" t="str">
        <f t="shared" si="50"/>
        <v/>
      </c>
      <c r="T305" s="283" t="str">
        <f t="shared" si="51"/>
        <v/>
      </c>
      <c r="AD305" s="283" t="s">
        <v>2037</v>
      </c>
      <c r="AE305" s="283" t="s">
        <v>2036</v>
      </c>
      <c r="AF305" s="283" t="str">
        <f t="shared" si="52"/>
        <v>A679076</v>
      </c>
      <c r="AG305" s="283" t="str">
        <f>VLOOKUP(AF305,[2]AKT!$C$4:$E$324,3,FALSE)</f>
        <v>0942</v>
      </c>
    </row>
    <row r="306" spans="1:33">
      <c r="A306" s="290"/>
      <c r="B306" s="288" t="str">
        <f t="shared" si="53"/>
        <v/>
      </c>
      <c r="C306" s="290"/>
      <c r="D306" s="288" t="str">
        <f t="shared" si="54"/>
        <v/>
      </c>
      <c r="E306" s="289"/>
      <c r="F306" s="288" t="str">
        <f t="shared" si="55"/>
        <v/>
      </c>
      <c r="G306" s="288" t="str">
        <f t="shared" si="56"/>
        <v/>
      </c>
      <c r="H306" s="128"/>
      <c r="I306" s="128"/>
      <c r="J306" s="128"/>
      <c r="K306" s="286"/>
      <c r="L306" s="287"/>
      <c r="M306" s="287"/>
      <c r="N306" s="286"/>
      <c r="O306" s="291"/>
      <c r="P306" s="285"/>
      <c r="R306" s="283" t="str">
        <f t="shared" si="49"/>
        <v/>
      </c>
      <c r="S306" s="283" t="str">
        <f t="shared" si="50"/>
        <v/>
      </c>
      <c r="T306" s="283" t="str">
        <f t="shared" si="51"/>
        <v/>
      </c>
      <c r="AD306" s="283" t="s">
        <v>2035</v>
      </c>
      <c r="AE306" s="283" t="s">
        <v>2034</v>
      </c>
      <c r="AF306" s="283" t="str">
        <f t="shared" si="52"/>
        <v>A679076</v>
      </c>
      <c r="AG306" s="283" t="str">
        <f>VLOOKUP(AF306,[2]AKT!$C$4:$E$324,3,FALSE)</f>
        <v>0942</v>
      </c>
    </row>
    <row r="307" spans="1:33">
      <c r="A307" s="290"/>
      <c r="B307" s="288" t="str">
        <f t="shared" si="53"/>
        <v/>
      </c>
      <c r="C307" s="290"/>
      <c r="D307" s="288" t="str">
        <f t="shared" si="54"/>
        <v/>
      </c>
      <c r="E307" s="289"/>
      <c r="F307" s="288" t="str">
        <f t="shared" si="55"/>
        <v/>
      </c>
      <c r="G307" s="288" t="str">
        <f t="shared" si="56"/>
        <v/>
      </c>
      <c r="H307" s="128"/>
      <c r="I307" s="128"/>
      <c r="J307" s="128"/>
      <c r="K307" s="286"/>
      <c r="L307" s="287"/>
      <c r="M307" s="287"/>
      <c r="N307" s="286"/>
      <c r="O307" s="291"/>
      <c r="P307" s="285"/>
      <c r="R307" s="283" t="str">
        <f t="shared" si="49"/>
        <v/>
      </c>
      <c r="S307" s="283" t="str">
        <f t="shared" si="50"/>
        <v/>
      </c>
      <c r="T307" s="283" t="str">
        <f t="shared" si="51"/>
        <v/>
      </c>
      <c r="AD307" s="283" t="s">
        <v>2033</v>
      </c>
      <c r="AE307" s="283" t="s">
        <v>2032</v>
      </c>
      <c r="AF307" s="283" t="str">
        <f t="shared" si="52"/>
        <v>A679076</v>
      </c>
      <c r="AG307" s="283" t="str">
        <f>VLOOKUP(AF307,[2]AKT!$C$4:$E$324,3,FALSE)</f>
        <v>0942</v>
      </c>
    </row>
    <row r="308" spans="1:33">
      <c r="A308" s="290"/>
      <c r="B308" s="288" t="str">
        <f t="shared" si="53"/>
        <v/>
      </c>
      <c r="C308" s="290"/>
      <c r="D308" s="288" t="str">
        <f t="shared" si="54"/>
        <v/>
      </c>
      <c r="E308" s="289"/>
      <c r="F308" s="288" t="str">
        <f t="shared" si="55"/>
        <v/>
      </c>
      <c r="G308" s="288" t="str">
        <f t="shared" si="56"/>
        <v/>
      </c>
      <c r="H308" s="128"/>
      <c r="I308" s="128"/>
      <c r="J308" s="128"/>
      <c r="K308" s="286"/>
      <c r="L308" s="287"/>
      <c r="M308" s="287"/>
      <c r="N308" s="286"/>
      <c r="O308" s="291"/>
      <c r="P308" s="285"/>
      <c r="R308" s="283" t="str">
        <f t="shared" si="49"/>
        <v/>
      </c>
      <c r="S308" s="283" t="str">
        <f t="shared" si="50"/>
        <v/>
      </c>
      <c r="T308" s="283" t="str">
        <f t="shared" si="51"/>
        <v/>
      </c>
      <c r="AD308" s="283" t="s">
        <v>2031</v>
      </c>
      <c r="AE308" s="283" t="s">
        <v>2030</v>
      </c>
      <c r="AF308" s="283" t="str">
        <f t="shared" si="52"/>
        <v>A679076</v>
      </c>
      <c r="AG308" s="283" t="str">
        <f>VLOOKUP(AF308,[2]AKT!$C$4:$E$324,3,FALSE)</f>
        <v>0942</v>
      </c>
    </row>
    <row r="309" spans="1:33">
      <c r="A309" s="290"/>
      <c r="B309" s="288" t="str">
        <f t="shared" si="53"/>
        <v/>
      </c>
      <c r="C309" s="290"/>
      <c r="D309" s="288" t="str">
        <f t="shared" si="54"/>
        <v/>
      </c>
      <c r="E309" s="289"/>
      <c r="F309" s="288" t="str">
        <f t="shared" si="55"/>
        <v/>
      </c>
      <c r="G309" s="288" t="str">
        <f t="shared" si="56"/>
        <v/>
      </c>
      <c r="H309" s="128"/>
      <c r="I309" s="128"/>
      <c r="J309" s="128"/>
      <c r="K309" s="286"/>
      <c r="L309" s="287"/>
      <c r="M309" s="287"/>
      <c r="N309" s="286"/>
      <c r="O309" s="291"/>
      <c r="P309" s="285"/>
      <c r="R309" s="283" t="str">
        <f t="shared" si="49"/>
        <v/>
      </c>
      <c r="S309" s="283" t="str">
        <f t="shared" si="50"/>
        <v/>
      </c>
      <c r="T309" s="283" t="str">
        <f t="shared" si="51"/>
        <v/>
      </c>
      <c r="AD309" s="283" t="s">
        <v>2029</v>
      </c>
      <c r="AE309" s="283" t="s">
        <v>762</v>
      </c>
      <c r="AF309" s="283" t="str">
        <f t="shared" si="52"/>
        <v>A679076</v>
      </c>
      <c r="AG309" s="283" t="str">
        <f>VLOOKUP(AF309,[2]AKT!$C$4:$E$324,3,FALSE)</f>
        <v>0942</v>
      </c>
    </row>
    <row r="310" spans="1:33">
      <c r="A310" s="290"/>
      <c r="B310" s="288" t="str">
        <f t="shared" si="53"/>
        <v/>
      </c>
      <c r="C310" s="290"/>
      <c r="D310" s="288" t="str">
        <f t="shared" si="54"/>
        <v/>
      </c>
      <c r="E310" s="289"/>
      <c r="F310" s="288" t="str">
        <f t="shared" si="55"/>
        <v/>
      </c>
      <c r="G310" s="288" t="str">
        <f t="shared" si="56"/>
        <v/>
      </c>
      <c r="H310" s="128"/>
      <c r="I310" s="128"/>
      <c r="J310" s="128"/>
      <c r="K310" s="286"/>
      <c r="L310" s="287"/>
      <c r="M310" s="287"/>
      <c r="N310" s="286"/>
      <c r="O310" s="291"/>
      <c r="P310" s="285"/>
      <c r="R310" s="283" t="str">
        <f t="shared" si="49"/>
        <v/>
      </c>
      <c r="S310" s="283" t="str">
        <f t="shared" si="50"/>
        <v/>
      </c>
      <c r="T310" s="283" t="str">
        <f t="shared" si="51"/>
        <v/>
      </c>
      <c r="AD310" s="283" t="s">
        <v>2028</v>
      </c>
      <c r="AE310" s="283" t="s">
        <v>2027</v>
      </c>
      <c r="AF310" s="283" t="str">
        <f t="shared" si="52"/>
        <v>A679077</v>
      </c>
      <c r="AG310" s="283" t="str">
        <f>VLOOKUP(AF310,[2]AKT!$C$4:$E$324,3,FALSE)</f>
        <v>0942</v>
      </c>
    </row>
    <row r="311" spans="1:33">
      <c r="A311" s="290"/>
      <c r="B311" s="288" t="str">
        <f t="shared" si="53"/>
        <v/>
      </c>
      <c r="C311" s="290"/>
      <c r="D311" s="288" t="str">
        <f t="shared" si="54"/>
        <v/>
      </c>
      <c r="E311" s="289"/>
      <c r="F311" s="288" t="str">
        <f t="shared" si="55"/>
        <v/>
      </c>
      <c r="G311" s="288" t="str">
        <f t="shared" si="56"/>
        <v/>
      </c>
      <c r="H311" s="128"/>
      <c r="I311" s="128"/>
      <c r="J311" s="128"/>
      <c r="K311" s="286"/>
      <c r="L311" s="287"/>
      <c r="M311" s="287"/>
      <c r="N311" s="286"/>
      <c r="O311" s="291"/>
      <c r="P311" s="285"/>
      <c r="R311" s="283" t="str">
        <f t="shared" si="49"/>
        <v/>
      </c>
      <c r="S311" s="283" t="str">
        <f t="shared" si="50"/>
        <v/>
      </c>
      <c r="T311" s="283" t="str">
        <f t="shared" si="51"/>
        <v/>
      </c>
      <c r="AD311" s="283" t="s">
        <v>2026</v>
      </c>
      <c r="AE311" s="283" t="s">
        <v>2025</v>
      </c>
      <c r="AF311" s="283" t="str">
        <f t="shared" si="52"/>
        <v>A679077</v>
      </c>
      <c r="AG311" s="283" t="str">
        <f>VLOOKUP(AF311,[2]AKT!$C$4:$E$324,3,FALSE)</f>
        <v>0942</v>
      </c>
    </row>
    <row r="312" spans="1:33">
      <c r="A312" s="290"/>
      <c r="B312" s="288" t="str">
        <f t="shared" si="53"/>
        <v/>
      </c>
      <c r="C312" s="290"/>
      <c r="D312" s="288" t="str">
        <f t="shared" si="54"/>
        <v/>
      </c>
      <c r="E312" s="289"/>
      <c r="F312" s="288" t="str">
        <f t="shared" si="55"/>
        <v/>
      </c>
      <c r="G312" s="288" t="str">
        <f t="shared" si="56"/>
        <v/>
      </c>
      <c r="H312" s="128"/>
      <c r="I312" s="128"/>
      <c r="J312" s="128"/>
      <c r="K312" s="286"/>
      <c r="L312" s="287"/>
      <c r="M312" s="287"/>
      <c r="N312" s="286"/>
      <c r="O312" s="291"/>
      <c r="P312" s="285"/>
      <c r="R312" s="283" t="str">
        <f t="shared" si="49"/>
        <v/>
      </c>
      <c r="S312" s="283" t="str">
        <f t="shared" si="50"/>
        <v/>
      </c>
      <c r="T312" s="283" t="str">
        <f t="shared" si="51"/>
        <v/>
      </c>
      <c r="AD312" s="283" t="s">
        <v>2024</v>
      </c>
      <c r="AE312" s="283" t="s">
        <v>2023</v>
      </c>
      <c r="AF312" s="283" t="str">
        <f t="shared" si="52"/>
        <v>A679077</v>
      </c>
      <c r="AG312" s="283" t="str">
        <f>VLOOKUP(AF312,[2]AKT!$C$4:$E$324,3,FALSE)</f>
        <v>0942</v>
      </c>
    </row>
    <row r="313" spans="1:33">
      <c r="A313" s="290"/>
      <c r="B313" s="288" t="str">
        <f t="shared" si="53"/>
        <v/>
      </c>
      <c r="C313" s="290"/>
      <c r="D313" s="288" t="str">
        <f t="shared" si="54"/>
        <v/>
      </c>
      <c r="E313" s="289"/>
      <c r="F313" s="288" t="str">
        <f t="shared" si="55"/>
        <v/>
      </c>
      <c r="G313" s="288" t="str">
        <f t="shared" si="56"/>
        <v/>
      </c>
      <c r="H313" s="128"/>
      <c r="I313" s="128"/>
      <c r="J313" s="128"/>
      <c r="K313" s="286"/>
      <c r="L313" s="287"/>
      <c r="M313" s="287"/>
      <c r="N313" s="286"/>
      <c r="O313" s="291"/>
      <c r="P313" s="285"/>
      <c r="R313" s="283" t="str">
        <f t="shared" si="49"/>
        <v/>
      </c>
      <c r="S313" s="283" t="str">
        <f t="shared" si="50"/>
        <v/>
      </c>
      <c r="T313" s="283" t="str">
        <f t="shared" si="51"/>
        <v/>
      </c>
      <c r="AD313" s="283" t="s">
        <v>2022</v>
      </c>
      <c r="AE313" s="283" t="s">
        <v>2021</v>
      </c>
      <c r="AF313" s="283" t="str">
        <f t="shared" si="52"/>
        <v>A679077</v>
      </c>
      <c r="AG313" s="283" t="str">
        <f>VLOOKUP(AF313,[2]AKT!$C$4:$E$324,3,FALSE)</f>
        <v>0942</v>
      </c>
    </row>
    <row r="314" spans="1:33">
      <c r="A314" s="290"/>
      <c r="B314" s="288" t="str">
        <f t="shared" si="53"/>
        <v/>
      </c>
      <c r="C314" s="290"/>
      <c r="D314" s="288" t="str">
        <f t="shared" si="54"/>
        <v/>
      </c>
      <c r="E314" s="289"/>
      <c r="F314" s="288" t="str">
        <f t="shared" si="55"/>
        <v/>
      </c>
      <c r="G314" s="288" t="str">
        <f t="shared" si="56"/>
        <v/>
      </c>
      <c r="H314" s="128"/>
      <c r="I314" s="128"/>
      <c r="J314" s="128"/>
      <c r="K314" s="286"/>
      <c r="L314" s="287"/>
      <c r="M314" s="287"/>
      <c r="N314" s="286"/>
      <c r="O314" s="291"/>
      <c r="P314" s="285"/>
      <c r="R314" s="283" t="str">
        <f t="shared" si="49"/>
        <v/>
      </c>
      <c r="S314" s="283" t="str">
        <f t="shared" si="50"/>
        <v/>
      </c>
      <c r="T314" s="283" t="str">
        <f t="shared" si="51"/>
        <v/>
      </c>
      <c r="AD314" s="283" t="s">
        <v>2020</v>
      </c>
      <c r="AE314" s="283" t="s">
        <v>2019</v>
      </c>
      <c r="AF314" s="283" t="str">
        <f t="shared" si="52"/>
        <v>A679077</v>
      </c>
      <c r="AG314" s="283" t="str">
        <f>VLOOKUP(AF314,[2]AKT!$C$4:$E$324,3,FALSE)</f>
        <v>0942</v>
      </c>
    </row>
    <row r="315" spans="1:33">
      <c r="A315" s="290"/>
      <c r="B315" s="288" t="str">
        <f t="shared" si="53"/>
        <v/>
      </c>
      <c r="C315" s="290"/>
      <c r="D315" s="288" t="str">
        <f t="shared" si="54"/>
        <v/>
      </c>
      <c r="E315" s="289"/>
      <c r="F315" s="288" t="str">
        <f t="shared" si="55"/>
        <v/>
      </c>
      <c r="G315" s="288" t="str">
        <f t="shared" si="56"/>
        <v/>
      </c>
      <c r="H315" s="128"/>
      <c r="I315" s="128"/>
      <c r="J315" s="128"/>
      <c r="K315" s="286"/>
      <c r="L315" s="287"/>
      <c r="M315" s="287"/>
      <c r="N315" s="286"/>
      <c r="O315" s="291"/>
      <c r="P315" s="285"/>
      <c r="R315" s="283" t="str">
        <f t="shared" ref="R315:R378" si="57">LEFT(C315,3)</f>
        <v/>
      </c>
      <c r="S315" s="283" t="str">
        <f t="shared" ref="S315:S378" si="58">LEFT(C315,2)</f>
        <v/>
      </c>
      <c r="T315" s="283" t="str">
        <f t="shared" ref="T315:T378" si="59">MID(G315,2,2)</f>
        <v/>
      </c>
      <c r="AD315" s="283" t="s">
        <v>2018</v>
      </c>
      <c r="AE315" s="283" t="s">
        <v>2017</v>
      </c>
      <c r="AF315" s="283" t="str">
        <f t="shared" ref="AF315:AF378" si="60">LEFT(AD315,7)</f>
        <v>A679077</v>
      </c>
      <c r="AG315" s="283" t="str">
        <f>VLOOKUP(AF315,[2]AKT!$C$4:$E$324,3,FALSE)</f>
        <v>0942</v>
      </c>
    </row>
    <row r="316" spans="1:33">
      <c r="A316" s="290"/>
      <c r="B316" s="288" t="str">
        <f t="shared" si="53"/>
        <v/>
      </c>
      <c r="C316" s="290"/>
      <c r="D316" s="288" t="str">
        <f t="shared" si="54"/>
        <v/>
      </c>
      <c r="E316" s="289"/>
      <c r="F316" s="288" t="str">
        <f t="shared" si="55"/>
        <v/>
      </c>
      <c r="G316" s="288" t="str">
        <f t="shared" si="56"/>
        <v/>
      </c>
      <c r="H316" s="128"/>
      <c r="I316" s="128"/>
      <c r="J316" s="128"/>
      <c r="K316" s="286"/>
      <c r="L316" s="287"/>
      <c r="M316" s="287"/>
      <c r="N316" s="286"/>
      <c r="O316" s="291"/>
      <c r="P316" s="285"/>
      <c r="R316" s="283" t="str">
        <f t="shared" si="57"/>
        <v/>
      </c>
      <c r="S316" s="283" t="str">
        <f t="shared" si="58"/>
        <v/>
      </c>
      <c r="T316" s="283" t="str">
        <f t="shared" si="59"/>
        <v/>
      </c>
      <c r="AD316" s="283" t="s">
        <v>2016</v>
      </c>
      <c r="AE316" s="283" t="s">
        <v>2015</v>
      </c>
      <c r="AF316" s="283" t="str">
        <f t="shared" si="60"/>
        <v>A679077</v>
      </c>
      <c r="AG316" s="283" t="str">
        <f>VLOOKUP(AF316,[2]AKT!$C$4:$E$324,3,FALSE)</f>
        <v>0942</v>
      </c>
    </row>
    <row r="317" spans="1:33">
      <c r="A317" s="290"/>
      <c r="B317" s="288" t="str">
        <f t="shared" si="53"/>
        <v/>
      </c>
      <c r="C317" s="290"/>
      <c r="D317" s="288" t="str">
        <f t="shared" si="54"/>
        <v/>
      </c>
      <c r="E317" s="289"/>
      <c r="F317" s="288" t="str">
        <f t="shared" si="55"/>
        <v/>
      </c>
      <c r="G317" s="288" t="str">
        <f t="shared" si="56"/>
        <v/>
      </c>
      <c r="H317" s="128"/>
      <c r="I317" s="128"/>
      <c r="J317" s="128"/>
      <c r="K317" s="286"/>
      <c r="L317" s="287"/>
      <c r="M317" s="287"/>
      <c r="N317" s="286"/>
      <c r="O317" s="291"/>
      <c r="P317" s="285"/>
      <c r="R317" s="283" t="str">
        <f t="shared" si="57"/>
        <v/>
      </c>
      <c r="S317" s="283" t="str">
        <f t="shared" si="58"/>
        <v/>
      </c>
      <c r="T317" s="283" t="str">
        <f t="shared" si="59"/>
        <v/>
      </c>
      <c r="AD317" s="283" t="s">
        <v>2014</v>
      </c>
      <c r="AE317" s="283" t="s">
        <v>2013</v>
      </c>
      <c r="AF317" s="283" t="str">
        <f t="shared" si="60"/>
        <v>A679077</v>
      </c>
      <c r="AG317" s="283" t="str">
        <f>VLOOKUP(AF317,[2]AKT!$C$4:$E$324,3,FALSE)</f>
        <v>0942</v>
      </c>
    </row>
    <row r="318" spans="1:33">
      <c r="A318" s="290"/>
      <c r="B318" s="288" t="str">
        <f t="shared" si="53"/>
        <v/>
      </c>
      <c r="C318" s="290"/>
      <c r="D318" s="288" t="str">
        <f t="shared" si="54"/>
        <v/>
      </c>
      <c r="E318" s="289"/>
      <c r="F318" s="288" t="str">
        <f t="shared" si="55"/>
        <v/>
      </c>
      <c r="G318" s="288" t="str">
        <f t="shared" si="56"/>
        <v/>
      </c>
      <c r="H318" s="128"/>
      <c r="I318" s="128"/>
      <c r="J318" s="128"/>
      <c r="K318" s="286"/>
      <c r="L318" s="287"/>
      <c r="M318" s="287"/>
      <c r="N318" s="286"/>
      <c r="O318" s="291"/>
      <c r="P318" s="285"/>
      <c r="R318" s="283" t="str">
        <f t="shared" si="57"/>
        <v/>
      </c>
      <c r="S318" s="283" t="str">
        <f t="shared" si="58"/>
        <v/>
      </c>
      <c r="T318" s="283" t="str">
        <f t="shared" si="59"/>
        <v/>
      </c>
      <c r="AD318" s="283" t="s">
        <v>2012</v>
      </c>
      <c r="AE318" s="283" t="s">
        <v>2011</v>
      </c>
      <c r="AF318" s="283" t="str">
        <f t="shared" si="60"/>
        <v>A679077</v>
      </c>
      <c r="AG318" s="283" t="str">
        <f>VLOOKUP(AF318,[2]AKT!$C$4:$E$324,3,FALSE)</f>
        <v>0942</v>
      </c>
    </row>
    <row r="319" spans="1:33">
      <c r="A319" s="290"/>
      <c r="B319" s="288" t="str">
        <f t="shared" si="53"/>
        <v/>
      </c>
      <c r="C319" s="290"/>
      <c r="D319" s="288" t="str">
        <f t="shared" si="54"/>
        <v/>
      </c>
      <c r="E319" s="289"/>
      <c r="F319" s="288" t="str">
        <f t="shared" si="55"/>
        <v/>
      </c>
      <c r="G319" s="288" t="str">
        <f t="shared" si="56"/>
        <v/>
      </c>
      <c r="H319" s="128"/>
      <c r="I319" s="128"/>
      <c r="J319" s="128"/>
      <c r="K319" s="286"/>
      <c r="L319" s="287"/>
      <c r="M319" s="287"/>
      <c r="N319" s="286"/>
      <c r="O319" s="291"/>
      <c r="P319" s="285"/>
      <c r="R319" s="283" t="str">
        <f t="shared" si="57"/>
        <v/>
      </c>
      <c r="S319" s="283" t="str">
        <f t="shared" si="58"/>
        <v/>
      </c>
      <c r="T319" s="283" t="str">
        <f t="shared" si="59"/>
        <v/>
      </c>
      <c r="AD319" s="283" t="s">
        <v>2010</v>
      </c>
      <c r="AE319" s="283" t="s">
        <v>2009</v>
      </c>
      <c r="AF319" s="283" t="str">
        <f t="shared" si="60"/>
        <v>A679077</v>
      </c>
      <c r="AG319" s="283" t="str">
        <f>VLOOKUP(AF319,[2]AKT!$C$4:$E$324,3,FALSE)</f>
        <v>0942</v>
      </c>
    </row>
    <row r="320" spans="1:33">
      <c r="A320" s="290"/>
      <c r="B320" s="288" t="str">
        <f t="shared" si="53"/>
        <v/>
      </c>
      <c r="C320" s="290"/>
      <c r="D320" s="288" t="str">
        <f t="shared" si="54"/>
        <v/>
      </c>
      <c r="E320" s="289"/>
      <c r="F320" s="288" t="str">
        <f t="shared" si="55"/>
        <v/>
      </c>
      <c r="G320" s="288" t="str">
        <f t="shared" si="56"/>
        <v/>
      </c>
      <c r="H320" s="128"/>
      <c r="I320" s="128"/>
      <c r="J320" s="128"/>
      <c r="K320" s="286"/>
      <c r="L320" s="287"/>
      <c r="M320" s="287"/>
      <c r="N320" s="286"/>
      <c r="O320" s="291"/>
      <c r="P320" s="285"/>
      <c r="R320" s="283" t="str">
        <f t="shared" si="57"/>
        <v/>
      </c>
      <c r="S320" s="283" t="str">
        <f t="shared" si="58"/>
        <v/>
      </c>
      <c r="T320" s="283" t="str">
        <f t="shared" si="59"/>
        <v/>
      </c>
      <c r="AD320" s="283" t="s">
        <v>2008</v>
      </c>
      <c r="AE320" s="283" t="s">
        <v>2007</v>
      </c>
      <c r="AF320" s="283" t="str">
        <f t="shared" si="60"/>
        <v>A679077</v>
      </c>
      <c r="AG320" s="283" t="str">
        <f>VLOOKUP(AF320,[2]AKT!$C$4:$E$324,3,FALSE)</f>
        <v>0942</v>
      </c>
    </row>
    <row r="321" spans="1:33">
      <c r="A321" s="290"/>
      <c r="B321" s="288" t="str">
        <f t="shared" si="53"/>
        <v/>
      </c>
      <c r="C321" s="290"/>
      <c r="D321" s="288" t="str">
        <f t="shared" si="54"/>
        <v/>
      </c>
      <c r="E321" s="289"/>
      <c r="F321" s="288" t="str">
        <f t="shared" si="55"/>
        <v/>
      </c>
      <c r="G321" s="288" t="str">
        <f t="shared" si="56"/>
        <v/>
      </c>
      <c r="H321" s="128"/>
      <c r="I321" s="128"/>
      <c r="J321" s="128"/>
      <c r="K321" s="286"/>
      <c r="L321" s="287"/>
      <c r="M321" s="287"/>
      <c r="N321" s="286"/>
      <c r="O321" s="291"/>
      <c r="P321" s="285"/>
      <c r="R321" s="283" t="str">
        <f t="shared" si="57"/>
        <v/>
      </c>
      <c r="S321" s="283" t="str">
        <f t="shared" si="58"/>
        <v/>
      </c>
      <c r="T321" s="283" t="str">
        <f t="shared" si="59"/>
        <v/>
      </c>
      <c r="AD321" s="283" t="s">
        <v>2006</v>
      </c>
      <c r="AE321" s="283" t="s">
        <v>2005</v>
      </c>
      <c r="AF321" s="283" t="str">
        <f t="shared" si="60"/>
        <v>A679077</v>
      </c>
      <c r="AG321" s="283" t="str">
        <f>VLOOKUP(AF321,[2]AKT!$C$4:$E$324,3,FALSE)</f>
        <v>0942</v>
      </c>
    </row>
    <row r="322" spans="1:33">
      <c r="A322" s="290"/>
      <c r="B322" s="288" t="str">
        <f t="shared" si="53"/>
        <v/>
      </c>
      <c r="C322" s="290"/>
      <c r="D322" s="288" t="str">
        <f t="shared" si="54"/>
        <v/>
      </c>
      <c r="E322" s="289"/>
      <c r="F322" s="288" t="str">
        <f t="shared" si="55"/>
        <v/>
      </c>
      <c r="G322" s="288" t="str">
        <f t="shared" si="56"/>
        <v/>
      </c>
      <c r="H322" s="128"/>
      <c r="I322" s="128"/>
      <c r="J322" s="128"/>
      <c r="K322" s="286"/>
      <c r="L322" s="287"/>
      <c r="M322" s="287"/>
      <c r="N322" s="286"/>
      <c r="O322" s="291"/>
      <c r="P322" s="285"/>
      <c r="R322" s="283" t="str">
        <f t="shared" si="57"/>
        <v/>
      </c>
      <c r="S322" s="283" t="str">
        <f t="shared" si="58"/>
        <v/>
      </c>
      <c r="T322" s="283" t="str">
        <f t="shared" si="59"/>
        <v/>
      </c>
      <c r="AD322" s="283" t="s">
        <v>2004</v>
      </c>
      <c r="AE322" s="283" t="s">
        <v>2003</v>
      </c>
      <c r="AF322" s="283" t="str">
        <f t="shared" si="60"/>
        <v>A679077</v>
      </c>
      <c r="AG322" s="283" t="str">
        <f>VLOOKUP(AF322,[2]AKT!$C$4:$E$324,3,FALSE)</f>
        <v>0942</v>
      </c>
    </row>
    <row r="323" spans="1:33">
      <c r="A323" s="290"/>
      <c r="B323" s="288" t="str">
        <f t="shared" si="53"/>
        <v/>
      </c>
      <c r="C323" s="290"/>
      <c r="D323" s="288" t="str">
        <f t="shared" si="54"/>
        <v/>
      </c>
      <c r="E323" s="289"/>
      <c r="F323" s="288" t="str">
        <f t="shared" si="55"/>
        <v/>
      </c>
      <c r="G323" s="288" t="str">
        <f t="shared" si="56"/>
        <v/>
      </c>
      <c r="H323" s="128"/>
      <c r="I323" s="128"/>
      <c r="J323" s="128"/>
      <c r="K323" s="286"/>
      <c r="L323" s="287"/>
      <c r="M323" s="287"/>
      <c r="N323" s="286"/>
      <c r="O323" s="291"/>
      <c r="P323" s="285"/>
      <c r="R323" s="283" t="str">
        <f t="shared" si="57"/>
        <v/>
      </c>
      <c r="S323" s="283" t="str">
        <f t="shared" si="58"/>
        <v/>
      </c>
      <c r="T323" s="283" t="str">
        <f t="shared" si="59"/>
        <v/>
      </c>
      <c r="AD323" s="283" t="s">
        <v>2002</v>
      </c>
      <c r="AE323" s="283" t="s">
        <v>2001</v>
      </c>
      <c r="AF323" s="283" t="str">
        <f t="shared" si="60"/>
        <v>A679077</v>
      </c>
      <c r="AG323" s="283" t="str">
        <f>VLOOKUP(AF323,[2]AKT!$C$4:$E$324,3,FALSE)</f>
        <v>0942</v>
      </c>
    </row>
    <row r="324" spans="1:33">
      <c r="A324" s="290"/>
      <c r="B324" s="288" t="str">
        <f t="shared" si="53"/>
        <v/>
      </c>
      <c r="C324" s="290"/>
      <c r="D324" s="288" t="str">
        <f t="shared" si="54"/>
        <v/>
      </c>
      <c r="E324" s="289"/>
      <c r="F324" s="288" t="str">
        <f t="shared" si="55"/>
        <v/>
      </c>
      <c r="G324" s="288" t="str">
        <f t="shared" si="56"/>
        <v/>
      </c>
      <c r="H324" s="128"/>
      <c r="I324" s="128"/>
      <c r="J324" s="128"/>
      <c r="K324" s="286"/>
      <c r="L324" s="287"/>
      <c r="M324" s="287"/>
      <c r="N324" s="286"/>
      <c r="O324" s="291"/>
      <c r="P324" s="285"/>
      <c r="R324" s="283" t="str">
        <f t="shared" si="57"/>
        <v/>
      </c>
      <c r="S324" s="283" t="str">
        <f t="shared" si="58"/>
        <v/>
      </c>
      <c r="T324" s="283" t="str">
        <f t="shared" si="59"/>
        <v/>
      </c>
      <c r="AD324" s="283" t="s">
        <v>2000</v>
      </c>
      <c r="AE324" s="283" t="s">
        <v>1999</v>
      </c>
      <c r="AF324" s="283" t="str">
        <f t="shared" si="60"/>
        <v>A679077</v>
      </c>
      <c r="AG324" s="283" t="str">
        <f>VLOOKUP(AF324,[2]AKT!$C$4:$E$324,3,FALSE)</f>
        <v>0942</v>
      </c>
    </row>
    <row r="325" spans="1:33">
      <c r="A325" s="290"/>
      <c r="B325" s="288" t="str">
        <f t="shared" si="53"/>
        <v/>
      </c>
      <c r="C325" s="290"/>
      <c r="D325" s="288" t="str">
        <f t="shared" si="54"/>
        <v/>
      </c>
      <c r="E325" s="289"/>
      <c r="F325" s="288" t="str">
        <f t="shared" si="55"/>
        <v/>
      </c>
      <c r="G325" s="288" t="str">
        <f t="shared" si="56"/>
        <v/>
      </c>
      <c r="H325" s="128"/>
      <c r="I325" s="128"/>
      <c r="J325" s="128"/>
      <c r="K325" s="286"/>
      <c r="L325" s="287"/>
      <c r="M325" s="287"/>
      <c r="N325" s="286"/>
      <c r="O325" s="291"/>
      <c r="P325" s="285"/>
      <c r="R325" s="283" t="str">
        <f t="shared" si="57"/>
        <v/>
      </c>
      <c r="S325" s="283" t="str">
        <f t="shared" si="58"/>
        <v/>
      </c>
      <c r="T325" s="283" t="str">
        <f t="shared" si="59"/>
        <v/>
      </c>
      <c r="AD325" s="283" t="s">
        <v>1998</v>
      </c>
      <c r="AE325" s="283" t="s">
        <v>1997</v>
      </c>
      <c r="AF325" s="283" t="str">
        <f t="shared" si="60"/>
        <v>A679077</v>
      </c>
      <c r="AG325" s="283" t="str">
        <f>VLOOKUP(AF325,[2]AKT!$C$4:$E$324,3,FALSE)</f>
        <v>0942</v>
      </c>
    </row>
    <row r="326" spans="1:33">
      <c r="A326" s="290"/>
      <c r="B326" s="288" t="str">
        <f t="shared" si="53"/>
        <v/>
      </c>
      <c r="C326" s="290"/>
      <c r="D326" s="288" t="str">
        <f t="shared" si="54"/>
        <v/>
      </c>
      <c r="E326" s="289"/>
      <c r="F326" s="288" t="str">
        <f t="shared" si="55"/>
        <v/>
      </c>
      <c r="G326" s="288" t="str">
        <f t="shared" si="56"/>
        <v/>
      </c>
      <c r="H326" s="128"/>
      <c r="I326" s="128"/>
      <c r="J326" s="128"/>
      <c r="K326" s="286"/>
      <c r="L326" s="287"/>
      <c r="M326" s="287"/>
      <c r="N326" s="286"/>
      <c r="O326" s="291"/>
      <c r="P326" s="285"/>
      <c r="R326" s="283" t="str">
        <f t="shared" si="57"/>
        <v/>
      </c>
      <c r="S326" s="283" t="str">
        <f t="shared" si="58"/>
        <v/>
      </c>
      <c r="T326" s="283" t="str">
        <f t="shared" si="59"/>
        <v/>
      </c>
      <c r="AD326" s="283" t="s">
        <v>1996</v>
      </c>
      <c r="AE326" s="283" t="s">
        <v>1995</v>
      </c>
      <c r="AF326" s="283" t="str">
        <f t="shared" si="60"/>
        <v>A679077</v>
      </c>
      <c r="AG326" s="283" t="str">
        <f>VLOOKUP(AF326,[2]AKT!$C$4:$E$324,3,FALSE)</f>
        <v>0942</v>
      </c>
    </row>
    <row r="327" spans="1:33">
      <c r="A327" s="290"/>
      <c r="B327" s="288" t="str">
        <f t="shared" si="53"/>
        <v/>
      </c>
      <c r="C327" s="290"/>
      <c r="D327" s="288" t="str">
        <f t="shared" si="54"/>
        <v/>
      </c>
      <c r="E327" s="289"/>
      <c r="F327" s="288" t="str">
        <f t="shared" si="55"/>
        <v/>
      </c>
      <c r="G327" s="288" t="str">
        <f t="shared" si="56"/>
        <v/>
      </c>
      <c r="H327" s="128"/>
      <c r="I327" s="128"/>
      <c r="J327" s="128"/>
      <c r="K327" s="286"/>
      <c r="L327" s="287"/>
      <c r="M327" s="287"/>
      <c r="N327" s="286"/>
      <c r="O327" s="291"/>
      <c r="P327" s="285"/>
      <c r="R327" s="283" t="str">
        <f t="shared" si="57"/>
        <v/>
      </c>
      <c r="S327" s="283" t="str">
        <f t="shared" si="58"/>
        <v/>
      </c>
      <c r="T327" s="283" t="str">
        <f t="shared" si="59"/>
        <v/>
      </c>
      <c r="AD327" s="283" t="s">
        <v>1994</v>
      </c>
      <c r="AE327" s="283" t="s">
        <v>1993</v>
      </c>
      <c r="AF327" s="283" t="str">
        <f t="shared" si="60"/>
        <v>A679077</v>
      </c>
      <c r="AG327" s="283" t="str">
        <f>VLOOKUP(AF327,[2]AKT!$C$4:$E$324,3,FALSE)</f>
        <v>0942</v>
      </c>
    </row>
    <row r="328" spans="1:33">
      <c r="A328" s="290"/>
      <c r="B328" s="288" t="str">
        <f t="shared" si="53"/>
        <v/>
      </c>
      <c r="C328" s="290"/>
      <c r="D328" s="288" t="str">
        <f t="shared" si="54"/>
        <v/>
      </c>
      <c r="E328" s="289"/>
      <c r="F328" s="288" t="str">
        <f t="shared" si="55"/>
        <v/>
      </c>
      <c r="G328" s="288" t="str">
        <f t="shared" si="56"/>
        <v/>
      </c>
      <c r="H328" s="128"/>
      <c r="I328" s="128"/>
      <c r="J328" s="128"/>
      <c r="K328" s="286"/>
      <c r="L328" s="287"/>
      <c r="M328" s="287"/>
      <c r="N328" s="286"/>
      <c r="O328" s="291"/>
      <c r="P328" s="285"/>
      <c r="R328" s="283" t="str">
        <f t="shared" si="57"/>
        <v/>
      </c>
      <c r="S328" s="283" t="str">
        <f t="shared" si="58"/>
        <v/>
      </c>
      <c r="T328" s="283" t="str">
        <f t="shared" si="59"/>
        <v/>
      </c>
      <c r="AD328" s="283" t="s">
        <v>1992</v>
      </c>
      <c r="AE328" s="283" t="s">
        <v>1991</v>
      </c>
      <c r="AF328" s="283" t="str">
        <f t="shared" si="60"/>
        <v>A679077</v>
      </c>
      <c r="AG328" s="283" t="str">
        <f>VLOOKUP(AF328,[2]AKT!$C$4:$E$324,3,FALSE)</f>
        <v>0942</v>
      </c>
    </row>
    <row r="329" spans="1:33">
      <c r="A329" s="290"/>
      <c r="B329" s="288" t="str">
        <f t="shared" si="53"/>
        <v/>
      </c>
      <c r="C329" s="290"/>
      <c r="D329" s="288" t="str">
        <f t="shared" si="54"/>
        <v/>
      </c>
      <c r="E329" s="289"/>
      <c r="F329" s="288" t="str">
        <f t="shared" si="55"/>
        <v/>
      </c>
      <c r="G329" s="288" t="str">
        <f t="shared" si="56"/>
        <v/>
      </c>
      <c r="H329" s="128"/>
      <c r="I329" s="128"/>
      <c r="J329" s="128"/>
      <c r="K329" s="286"/>
      <c r="L329" s="287"/>
      <c r="M329" s="287"/>
      <c r="N329" s="286"/>
      <c r="O329" s="291"/>
      <c r="P329" s="285"/>
      <c r="R329" s="283" t="str">
        <f t="shared" si="57"/>
        <v/>
      </c>
      <c r="S329" s="283" t="str">
        <f t="shared" si="58"/>
        <v/>
      </c>
      <c r="T329" s="283" t="str">
        <f t="shared" si="59"/>
        <v/>
      </c>
      <c r="AD329" s="283" t="s">
        <v>1990</v>
      </c>
      <c r="AE329" s="283" t="s">
        <v>1989</v>
      </c>
      <c r="AF329" s="283" t="str">
        <f t="shared" si="60"/>
        <v>A679077</v>
      </c>
      <c r="AG329" s="283" t="str">
        <f>VLOOKUP(AF329,[2]AKT!$C$4:$E$324,3,FALSE)</f>
        <v>0942</v>
      </c>
    </row>
    <row r="330" spans="1:33">
      <c r="A330" s="290"/>
      <c r="B330" s="288" t="str">
        <f t="shared" ref="B330:B393" si="61">IFERROR(VLOOKUP(A330,$U$6:$V$31,2,FALSE),"")</f>
        <v/>
      </c>
      <c r="C330" s="290"/>
      <c r="D330" s="288" t="str">
        <f t="shared" ref="D330:D393" si="62">IFERROR(VLOOKUP(C330,$X$5:$Z$144,2,FALSE),"")</f>
        <v/>
      </c>
      <c r="E330" s="289"/>
      <c r="F330" s="288" t="str">
        <f t="shared" ref="F330:F393" si="63">IFERROR(VLOOKUP(E330,$AD$6:$AE$1105,2,FALSE),"")</f>
        <v/>
      </c>
      <c r="G330" s="288" t="str">
        <f t="shared" ref="G330:G393" si="64">IFERROR(VLOOKUP(E330,$AD$6:$AG$1105,4,FALSE),"")</f>
        <v/>
      </c>
      <c r="H330" s="128"/>
      <c r="I330" s="128"/>
      <c r="J330" s="128"/>
      <c r="K330" s="286"/>
      <c r="L330" s="287"/>
      <c r="M330" s="287"/>
      <c r="N330" s="286"/>
      <c r="O330" s="291"/>
      <c r="P330" s="285"/>
      <c r="R330" s="283" t="str">
        <f t="shared" si="57"/>
        <v/>
      </c>
      <c r="S330" s="283" t="str">
        <f t="shared" si="58"/>
        <v/>
      </c>
      <c r="T330" s="283" t="str">
        <f t="shared" si="59"/>
        <v/>
      </c>
      <c r="AD330" s="283" t="s">
        <v>1988</v>
      </c>
      <c r="AE330" s="283" t="s">
        <v>1986</v>
      </c>
      <c r="AF330" s="283" t="str">
        <f t="shared" si="60"/>
        <v>A679077</v>
      </c>
      <c r="AG330" s="283" t="str">
        <f>VLOOKUP(AF330,[2]AKT!$C$4:$E$324,3,FALSE)</f>
        <v>0942</v>
      </c>
    </row>
    <row r="331" spans="1:33">
      <c r="A331" s="290"/>
      <c r="B331" s="288" t="str">
        <f t="shared" si="61"/>
        <v/>
      </c>
      <c r="C331" s="290"/>
      <c r="D331" s="288" t="str">
        <f t="shared" si="62"/>
        <v/>
      </c>
      <c r="E331" s="289"/>
      <c r="F331" s="288" t="str">
        <f t="shared" si="63"/>
        <v/>
      </c>
      <c r="G331" s="288" t="str">
        <f t="shared" si="64"/>
        <v/>
      </c>
      <c r="H331" s="128"/>
      <c r="I331" s="128"/>
      <c r="J331" s="128"/>
      <c r="K331" s="286"/>
      <c r="L331" s="287"/>
      <c r="M331" s="287"/>
      <c r="N331" s="286"/>
      <c r="O331" s="291"/>
      <c r="P331" s="285"/>
      <c r="R331" s="283" t="str">
        <f t="shared" si="57"/>
        <v/>
      </c>
      <c r="S331" s="283" t="str">
        <f t="shared" si="58"/>
        <v/>
      </c>
      <c r="T331" s="283" t="str">
        <f t="shared" si="59"/>
        <v/>
      </c>
      <c r="AD331" s="283" t="s">
        <v>1987</v>
      </c>
      <c r="AE331" s="283" t="s">
        <v>1986</v>
      </c>
      <c r="AF331" s="283" t="str">
        <f t="shared" si="60"/>
        <v>A679077</v>
      </c>
      <c r="AG331" s="283" t="str">
        <f>VLOOKUP(AF331,[2]AKT!$C$4:$E$324,3,FALSE)</f>
        <v>0942</v>
      </c>
    </row>
    <row r="332" spans="1:33">
      <c r="A332" s="290"/>
      <c r="B332" s="288" t="str">
        <f t="shared" si="61"/>
        <v/>
      </c>
      <c r="C332" s="290"/>
      <c r="D332" s="288" t="str">
        <f t="shared" si="62"/>
        <v/>
      </c>
      <c r="E332" s="289"/>
      <c r="F332" s="288" t="str">
        <f t="shared" si="63"/>
        <v/>
      </c>
      <c r="G332" s="288" t="str">
        <f t="shared" si="64"/>
        <v/>
      </c>
      <c r="H332" s="128"/>
      <c r="I332" s="128"/>
      <c r="J332" s="128"/>
      <c r="K332" s="286"/>
      <c r="L332" s="287"/>
      <c r="M332" s="287"/>
      <c r="N332" s="286"/>
      <c r="O332" s="291"/>
      <c r="P332" s="285"/>
      <c r="R332" s="283" t="str">
        <f t="shared" si="57"/>
        <v/>
      </c>
      <c r="S332" s="283" t="str">
        <f t="shared" si="58"/>
        <v/>
      </c>
      <c r="T332" s="283" t="str">
        <f t="shared" si="59"/>
        <v/>
      </c>
      <c r="AD332" s="283" t="s">
        <v>1985</v>
      </c>
      <c r="AE332" s="283" t="s">
        <v>1983</v>
      </c>
      <c r="AF332" s="283" t="str">
        <f t="shared" si="60"/>
        <v>A679077</v>
      </c>
      <c r="AG332" s="283" t="str">
        <f>VLOOKUP(AF332,[2]AKT!$C$4:$E$324,3,FALSE)</f>
        <v>0942</v>
      </c>
    </row>
    <row r="333" spans="1:33">
      <c r="A333" s="290"/>
      <c r="B333" s="288" t="str">
        <f t="shared" si="61"/>
        <v/>
      </c>
      <c r="C333" s="290"/>
      <c r="D333" s="288" t="str">
        <f t="shared" si="62"/>
        <v/>
      </c>
      <c r="E333" s="289"/>
      <c r="F333" s="288" t="str">
        <f t="shared" si="63"/>
        <v/>
      </c>
      <c r="G333" s="288" t="str">
        <f t="shared" si="64"/>
        <v/>
      </c>
      <c r="H333" s="128"/>
      <c r="I333" s="128"/>
      <c r="J333" s="128"/>
      <c r="K333" s="286"/>
      <c r="L333" s="287"/>
      <c r="M333" s="287"/>
      <c r="N333" s="286"/>
      <c r="O333" s="291"/>
      <c r="P333" s="285"/>
      <c r="R333" s="283" t="str">
        <f t="shared" si="57"/>
        <v/>
      </c>
      <c r="S333" s="283" t="str">
        <f t="shared" si="58"/>
        <v/>
      </c>
      <c r="T333" s="283" t="str">
        <f t="shared" si="59"/>
        <v/>
      </c>
      <c r="AD333" s="283" t="s">
        <v>1984</v>
      </c>
      <c r="AE333" s="283" t="s">
        <v>1983</v>
      </c>
      <c r="AF333" s="283" t="str">
        <f t="shared" si="60"/>
        <v>A679077</v>
      </c>
      <c r="AG333" s="283" t="str">
        <f>VLOOKUP(AF333,[2]AKT!$C$4:$E$324,3,FALSE)</f>
        <v>0942</v>
      </c>
    </row>
    <row r="334" spans="1:33">
      <c r="A334" s="290"/>
      <c r="B334" s="288" t="str">
        <f t="shared" si="61"/>
        <v/>
      </c>
      <c r="C334" s="290"/>
      <c r="D334" s="288" t="str">
        <f t="shared" si="62"/>
        <v/>
      </c>
      <c r="E334" s="289"/>
      <c r="F334" s="288" t="str">
        <f t="shared" si="63"/>
        <v/>
      </c>
      <c r="G334" s="288" t="str">
        <f t="shared" si="64"/>
        <v/>
      </c>
      <c r="H334" s="128"/>
      <c r="I334" s="128"/>
      <c r="J334" s="128"/>
      <c r="K334" s="286"/>
      <c r="L334" s="287"/>
      <c r="M334" s="287"/>
      <c r="N334" s="286"/>
      <c r="O334" s="291"/>
      <c r="P334" s="285"/>
      <c r="R334" s="283" t="str">
        <f t="shared" si="57"/>
        <v/>
      </c>
      <c r="S334" s="283" t="str">
        <f t="shared" si="58"/>
        <v/>
      </c>
      <c r="T334" s="283" t="str">
        <f t="shared" si="59"/>
        <v/>
      </c>
      <c r="AD334" s="283" t="s">
        <v>1982</v>
      </c>
      <c r="AE334" s="283" t="s">
        <v>1981</v>
      </c>
      <c r="AF334" s="283" t="str">
        <f t="shared" si="60"/>
        <v>A679077</v>
      </c>
      <c r="AG334" s="283" t="str">
        <f>VLOOKUP(AF334,[2]AKT!$C$4:$E$324,3,FALSE)</f>
        <v>0942</v>
      </c>
    </row>
    <row r="335" spans="1:33">
      <c r="A335" s="290"/>
      <c r="B335" s="288" t="str">
        <f t="shared" si="61"/>
        <v/>
      </c>
      <c r="C335" s="290"/>
      <c r="D335" s="288" t="str">
        <f t="shared" si="62"/>
        <v/>
      </c>
      <c r="E335" s="289"/>
      <c r="F335" s="288" t="str">
        <f t="shared" si="63"/>
        <v/>
      </c>
      <c r="G335" s="288" t="str">
        <f t="shared" si="64"/>
        <v/>
      </c>
      <c r="H335" s="128"/>
      <c r="I335" s="128"/>
      <c r="J335" s="128"/>
      <c r="K335" s="286"/>
      <c r="L335" s="287"/>
      <c r="M335" s="287"/>
      <c r="N335" s="286"/>
      <c r="O335" s="291"/>
      <c r="P335" s="285"/>
      <c r="R335" s="283" t="str">
        <f t="shared" si="57"/>
        <v/>
      </c>
      <c r="S335" s="283" t="str">
        <f t="shared" si="58"/>
        <v/>
      </c>
      <c r="T335" s="283" t="str">
        <f t="shared" si="59"/>
        <v/>
      </c>
      <c r="AD335" s="283" t="s">
        <v>1980</v>
      </c>
      <c r="AE335" s="283" t="s">
        <v>1979</v>
      </c>
      <c r="AF335" s="283" t="str">
        <f t="shared" si="60"/>
        <v>A679077</v>
      </c>
      <c r="AG335" s="283" t="str">
        <f>VLOOKUP(AF335,[2]AKT!$C$4:$E$324,3,FALSE)</f>
        <v>0942</v>
      </c>
    </row>
    <row r="336" spans="1:33">
      <c r="A336" s="290"/>
      <c r="B336" s="288" t="str">
        <f t="shared" si="61"/>
        <v/>
      </c>
      <c r="C336" s="290"/>
      <c r="D336" s="288" t="str">
        <f t="shared" si="62"/>
        <v/>
      </c>
      <c r="E336" s="289"/>
      <c r="F336" s="288" t="str">
        <f t="shared" si="63"/>
        <v/>
      </c>
      <c r="G336" s="288" t="str">
        <f t="shared" si="64"/>
        <v/>
      </c>
      <c r="H336" s="128"/>
      <c r="I336" s="128"/>
      <c r="J336" s="128"/>
      <c r="K336" s="286"/>
      <c r="L336" s="287"/>
      <c r="M336" s="287"/>
      <c r="N336" s="286"/>
      <c r="O336" s="291"/>
      <c r="P336" s="285"/>
      <c r="R336" s="283" t="str">
        <f t="shared" si="57"/>
        <v/>
      </c>
      <c r="S336" s="283" t="str">
        <f t="shared" si="58"/>
        <v/>
      </c>
      <c r="T336" s="283" t="str">
        <f t="shared" si="59"/>
        <v/>
      </c>
      <c r="AD336" s="283" t="s">
        <v>1978</v>
      </c>
      <c r="AE336" s="283" t="s">
        <v>1977</v>
      </c>
      <c r="AF336" s="283" t="str">
        <f t="shared" si="60"/>
        <v>A679077</v>
      </c>
      <c r="AG336" s="283" t="str">
        <f>VLOOKUP(AF336,[2]AKT!$C$4:$E$324,3,FALSE)</f>
        <v>0942</v>
      </c>
    </row>
    <row r="337" spans="1:33">
      <c r="A337" s="290"/>
      <c r="B337" s="288" t="str">
        <f t="shared" si="61"/>
        <v/>
      </c>
      <c r="C337" s="290"/>
      <c r="D337" s="288" t="str">
        <f t="shared" si="62"/>
        <v/>
      </c>
      <c r="E337" s="289"/>
      <c r="F337" s="288" t="str">
        <f t="shared" si="63"/>
        <v/>
      </c>
      <c r="G337" s="288" t="str">
        <f t="shared" si="64"/>
        <v/>
      </c>
      <c r="H337" s="128"/>
      <c r="I337" s="128"/>
      <c r="J337" s="128"/>
      <c r="K337" s="286"/>
      <c r="L337" s="287"/>
      <c r="M337" s="287"/>
      <c r="N337" s="286"/>
      <c r="O337" s="291"/>
      <c r="P337" s="285"/>
      <c r="R337" s="283" t="str">
        <f t="shared" si="57"/>
        <v/>
      </c>
      <c r="S337" s="283" t="str">
        <f t="shared" si="58"/>
        <v/>
      </c>
      <c r="T337" s="283" t="str">
        <f t="shared" si="59"/>
        <v/>
      </c>
      <c r="AD337" s="283" t="s">
        <v>1976</v>
      </c>
      <c r="AE337" s="283" t="s">
        <v>1975</v>
      </c>
      <c r="AF337" s="283" t="str">
        <f t="shared" si="60"/>
        <v>A679077</v>
      </c>
      <c r="AG337" s="283" t="str">
        <f>VLOOKUP(AF337,[2]AKT!$C$4:$E$324,3,FALSE)</f>
        <v>0942</v>
      </c>
    </row>
    <row r="338" spans="1:33">
      <c r="A338" s="290"/>
      <c r="B338" s="288" t="str">
        <f t="shared" si="61"/>
        <v/>
      </c>
      <c r="C338" s="290"/>
      <c r="D338" s="288" t="str">
        <f t="shared" si="62"/>
        <v/>
      </c>
      <c r="E338" s="289"/>
      <c r="F338" s="288" t="str">
        <f t="shared" si="63"/>
        <v/>
      </c>
      <c r="G338" s="288" t="str">
        <f t="shared" si="64"/>
        <v/>
      </c>
      <c r="H338" s="128"/>
      <c r="I338" s="128"/>
      <c r="J338" s="128"/>
      <c r="K338" s="286"/>
      <c r="L338" s="287"/>
      <c r="M338" s="287"/>
      <c r="N338" s="286"/>
      <c r="O338" s="291"/>
      <c r="P338" s="285"/>
      <c r="R338" s="283" t="str">
        <f t="shared" si="57"/>
        <v/>
      </c>
      <c r="S338" s="283" t="str">
        <f t="shared" si="58"/>
        <v/>
      </c>
      <c r="T338" s="283" t="str">
        <f t="shared" si="59"/>
        <v/>
      </c>
      <c r="AD338" s="283" t="s">
        <v>1974</v>
      </c>
      <c r="AE338" s="283" t="s">
        <v>1973</v>
      </c>
      <c r="AF338" s="283" t="str">
        <f t="shared" si="60"/>
        <v>A679077</v>
      </c>
      <c r="AG338" s="283" t="str">
        <f>VLOOKUP(AF338,[2]AKT!$C$4:$E$324,3,FALSE)</f>
        <v>0942</v>
      </c>
    </row>
    <row r="339" spans="1:33">
      <c r="A339" s="290"/>
      <c r="B339" s="288" t="str">
        <f t="shared" si="61"/>
        <v/>
      </c>
      <c r="C339" s="290"/>
      <c r="D339" s="288" t="str">
        <f t="shared" si="62"/>
        <v/>
      </c>
      <c r="E339" s="289"/>
      <c r="F339" s="288" t="str">
        <f t="shared" si="63"/>
        <v/>
      </c>
      <c r="G339" s="288" t="str">
        <f t="shared" si="64"/>
        <v/>
      </c>
      <c r="H339" s="128"/>
      <c r="I339" s="128"/>
      <c r="J339" s="128"/>
      <c r="K339" s="286"/>
      <c r="L339" s="287"/>
      <c r="M339" s="287"/>
      <c r="N339" s="286"/>
      <c r="O339" s="291"/>
      <c r="P339" s="285"/>
      <c r="R339" s="283" t="str">
        <f t="shared" si="57"/>
        <v/>
      </c>
      <c r="S339" s="283" t="str">
        <f t="shared" si="58"/>
        <v/>
      </c>
      <c r="T339" s="283" t="str">
        <f t="shared" si="59"/>
        <v/>
      </c>
      <c r="AD339" s="283" t="s">
        <v>1972</v>
      </c>
      <c r="AE339" s="283" t="s">
        <v>1971</v>
      </c>
      <c r="AF339" s="283" t="str">
        <f t="shared" si="60"/>
        <v>A679077</v>
      </c>
      <c r="AG339" s="283" t="str">
        <f>VLOOKUP(AF339,[2]AKT!$C$4:$E$324,3,FALSE)</f>
        <v>0942</v>
      </c>
    </row>
    <row r="340" spans="1:33">
      <c r="A340" s="290"/>
      <c r="B340" s="288" t="str">
        <f t="shared" si="61"/>
        <v/>
      </c>
      <c r="C340" s="290"/>
      <c r="D340" s="288" t="str">
        <f t="shared" si="62"/>
        <v/>
      </c>
      <c r="E340" s="289"/>
      <c r="F340" s="288" t="str">
        <f t="shared" si="63"/>
        <v/>
      </c>
      <c r="G340" s="288" t="str">
        <f t="shared" si="64"/>
        <v/>
      </c>
      <c r="H340" s="128"/>
      <c r="I340" s="128"/>
      <c r="J340" s="128"/>
      <c r="K340" s="286"/>
      <c r="L340" s="287"/>
      <c r="M340" s="287"/>
      <c r="N340" s="286"/>
      <c r="O340" s="291"/>
      <c r="P340" s="285"/>
      <c r="R340" s="283" t="str">
        <f t="shared" si="57"/>
        <v/>
      </c>
      <c r="S340" s="283" t="str">
        <f t="shared" si="58"/>
        <v/>
      </c>
      <c r="T340" s="283" t="str">
        <f t="shared" si="59"/>
        <v/>
      </c>
      <c r="AD340" s="283" t="s">
        <v>1970</v>
      </c>
      <c r="AE340" s="283" t="s">
        <v>1969</v>
      </c>
      <c r="AF340" s="283" t="str">
        <f t="shared" si="60"/>
        <v>A679077</v>
      </c>
      <c r="AG340" s="283" t="str">
        <f>VLOOKUP(AF340,[2]AKT!$C$4:$E$324,3,FALSE)</f>
        <v>0942</v>
      </c>
    </row>
    <row r="341" spans="1:33">
      <c r="A341" s="290"/>
      <c r="B341" s="288" t="str">
        <f t="shared" si="61"/>
        <v/>
      </c>
      <c r="C341" s="290"/>
      <c r="D341" s="288" t="str">
        <f t="shared" si="62"/>
        <v/>
      </c>
      <c r="E341" s="289"/>
      <c r="F341" s="288" t="str">
        <f t="shared" si="63"/>
        <v/>
      </c>
      <c r="G341" s="288" t="str">
        <f t="shared" si="64"/>
        <v/>
      </c>
      <c r="H341" s="128"/>
      <c r="I341" s="128"/>
      <c r="J341" s="128"/>
      <c r="K341" s="286"/>
      <c r="L341" s="287"/>
      <c r="M341" s="287"/>
      <c r="N341" s="286"/>
      <c r="O341" s="291"/>
      <c r="P341" s="285"/>
      <c r="R341" s="283" t="str">
        <f t="shared" si="57"/>
        <v/>
      </c>
      <c r="S341" s="283" t="str">
        <f t="shared" si="58"/>
        <v/>
      </c>
      <c r="T341" s="283" t="str">
        <f t="shared" si="59"/>
        <v/>
      </c>
      <c r="AD341" s="283" t="s">
        <v>1968</v>
      </c>
      <c r="AE341" s="283" t="s">
        <v>1967</v>
      </c>
      <c r="AF341" s="283" t="str">
        <f t="shared" si="60"/>
        <v>A679077</v>
      </c>
      <c r="AG341" s="283" t="str">
        <f>VLOOKUP(AF341,[2]AKT!$C$4:$E$324,3,FALSE)</f>
        <v>0942</v>
      </c>
    </row>
    <row r="342" spans="1:33">
      <c r="A342" s="290"/>
      <c r="B342" s="288" t="str">
        <f t="shared" si="61"/>
        <v/>
      </c>
      <c r="C342" s="290"/>
      <c r="D342" s="288" t="str">
        <f t="shared" si="62"/>
        <v/>
      </c>
      <c r="E342" s="289"/>
      <c r="F342" s="288" t="str">
        <f t="shared" si="63"/>
        <v/>
      </c>
      <c r="G342" s="288" t="str">
        <f t="shared" si="64"/>
        <v/>
      </c>
      <c r="H342" s="128"/>
      <c r="I342" s="128"/>
      <c r="J342" s="128"/>
      <c r="K342" s="286"/>
      <c r="L342" s="287"/>
      <c r="M342" s="287"/>
      <c r="N342" s="286"/>
      <c r="O342" s="291"/>
      <c r="P342" s="285"/>
      <c r="R342" s="283" t="str">
        <f t="shared" si="57"/>
        <v/>
      </c>
      <c r="S342" s="283" t="str">
        <f t="shared" si="58"/>
        <v/>
      </c>
      <c r="T342" s="283" t="str">
        <f t="shared" si="59"/>
        <v/>
      </c>
      <c r="AD342" s="283" t="s">
        <v>1966</v>
      </c>
      <c r="AE342" s="283" t="s">
        <v>1965</v>
      </c>
      <c r="AF342" s="283" t="str">
        <f t="shared" si="60"/>
        <v>A679077</v>
      </c>
      <c r="AG342" s="283" t="str">
        <f>VLOOKUP(AF342,[2]AKT!$C$4:$E$324,3,FALSE)</f>
        <v>0942</v>
      </c>
    </row>
    <row r="343" spans="1:33">
      <c r="A343" s="290"/>
      <c r="B343" s="288" t="str">
        <f t="shared" si="61"/>
        <v/>
      </c>
      <c r="C343" s="290"/>
      <c r="D343" s="288" t="str">
        <f t="shared" si="62"/>
        <v/>
      </c>
      <c r="E343" s="289"/>
      <c r="F343" s="288" t="str">
        <f t="shared" si="63"/>
        <v/>
      </c>
      <c r="G343" s="288" t="str">
        <f t="shared" si="64"/>
        <v/>
      </c>
      <c r="H343" s="128"/>
      <c r="I343" s="128"/>
      <c r="J343" s="128"/>
      <c r="K343" s="286"/>
      <c r="L343" s="287"/>
      <c r="M343" s="287"/>
      <c r="N343" s="286"/>
      <c r="O343" s="291"/>
      <c r="P343" s="285"/>
      <c r="R343" s="283" t="str">
        <f t="shared" si="57"/>
        <v/>
      </c>
      <c r="S343" s="283" t="str">
        <f t="shared" si="58"/>
        <v/>
      </c>
      <c r="T343" s="283" t="str">
        <f t="shared" si="59"/>
        <v/>
      </c>
      <c r="AD343" s="283" t="s">
        <v>1964</v>
      </c>
      <c r="AE343" s="283" t="s">
        <v>1963</v>
      </c>
      <c r="AF343" s="283" t="str">
        <f t="shared" si="60"/>
        <v>A679077</v>
      </c>
      <c r="AG343" s="283" t="str">
        <f>VLOOKUP(AF343,[2]AKT!$C$4:$E$324,3,FALSE)</f>
        <v>0942</v>
      </c>
    </row>
    <row r="344" spans="1:33">
      <c r="A344" s="290"/>
      <c r="B344" s="288" t="str">
        <f t="shared" si="61"/>
        <v/>
      </c>
      <c r="C344" s="290"/>
      <c r="D344" s="288" t="str">
        <f t="shared" si="62"/>
        <v/>
      </c>
      <c r="E344" s="289"/>
      <c r="F344" s="288" t="str">
        <f t="shared" si="63"/>
        <v/>
      </c>
      <c r="G344" s="288" t="str">
        <f t="shared" si="64"/>
        <v/>
      </c>
      <c r="H344" s="128"/>
      <c r="I344" s="128"/>
      <c r="J344" s="128"/>
      <c r="K344" s="286"/>
      <c r="L344" s="287"/>
      <c r="M344" s="287"/>
      <c r="N344" s="286"/>
      <c r="O344" s="291"/>
      <c r="P344" s="285"/>
      <c r="R344" s="283" t="str">
        <f t="shared" si="57"/>
        <v/>
      </c>
      <c r="S344" s="283" t="str">
        <f t="shared" si="58"/>
        <v/>
      </c>
      <c r="T344" s="283" t="str">
        <f t="shared" si="59"/>
        <v/>
      </c>
      <c r="AD344" s="283" t="s">
        <v>1962</v>
      </c>
      <c r="AE344" s="283" t="s">
        <v>1961</v>
      </c>
      <c r="AF344" s="283" t="str">
        <f t="shared" si="60"/>
        <v>A679077</v>
      </c>
      <c r="AG344" s="283" t="str">
        <f>VLOOKUP(AF344,[2]AKT!$C$4:$E$324,3,FALSE)</f>
        <v>0942</v>
      </c>
    </row>
    <row r="345" spans="1:33">
      <c r="A345" s="290"/>
      <c r="B345" s="288" t="str">
        <f t="shared" si="61"/>
        <v/>
      </c>
      <c r="C345" s="290"/>
      <c r="D345" s="288" t="str">
        <f t="shared" si="62"/>
        <v/>
      </c>
      <c r="E345" s="289"/>
      <c r="F345" s="288" t="str">
        <f t="shared" si="63"/>
        <v/>
      </c>
      <c r="G345" s="288" t="str">
        <f t="shared" si="64"/>
        <v/>
      </c>
      <c r="H345" s="128"/>
      <c r="I345" s="128"/>
      <c r="J345" s="128"/>
      <c r="K345" s="286"/>
      <c r="L345" s="287"/>
      <c r="M345" s="287"/>
      <c r="N345" s="286"/>
      <c r="O345" s="291"/>
      <c r="P345" s="285"/>
      <c r="R345" s="283" t="str">
        <f t="shared" si="57"/>
        <v/>
      </c>
      <c r="S345" s="283" t="str">
        <f t="shared" si="58"/>
        <v/>
      </c>
      <c r="T345" s="283" t="str">
        <f t="shared" si="59"/>
        <v/>
      </c>
      <c r="AD345" s="283" t="s">
        <v>1960</v>
      </c>
      <c r="AE345" s="283" t="s">
        <v>1959</v>
      </c>
      <c r="AF345" s="283" t="str">
        <f t="shared" si="60"/>
        <v>A679077</v>
      </c>
      <c r="AG345" s="283" t="str">
        <f>VLOOKUP(AF345,[2]AKT!$C$4:$E$324,3,FALSE)</f>
        <v>0942</v>
      </c>
    </row>
    <row r="346" spans="1:33">
      <c r="A346" s="290"/>
      <c r="B346" s="288" t="str">
        <f t="shared" si="61"/>
        <v/>
      </c>
      <c r="C346" s="290"/>
      <c r="D346" s="288" t="str">
        <f t="shared" si="62"/>
        <v/>
      </c>
      <c r="E346" s="289"/>
      <c r="F346" s="288" t="str">
        <f t="shared" si="63"/>
        <v/>
      </c>
      <c r="G346" s="288" t="str">
        <f t="shared" si="64"/>
        <v/>
      </c>
      <c r="H346" s="128"/>
      <c r="I346" s="128"/>
      <c r="J346" s="128"/>
      <c r="K346" s="286"/>
      <c r="L346" s="287"/>
      <c r="M346" s="287"/>
      <c r="N346" s="286"/>
      <c r="O346" s="291"/>
      <c r="P346" s="285"/>
      <c r="R346" s="283" t="str">
        <f t="shared" si="57"/>
        <v/>
      </c>
      <c r="S346" s="283" t="str">
        <f t="shared" si="58"/>
        <v/>
      </c>
      <c r="T346" s="283" t="str">
        <f t="shared" si="59"/>
        <v/>
      </c>
      <c r="AD346" s="283" t="s">
        <v>1958</v>
      </c>
      <c r="AE346" s="283" t="s">
        <v>1957</v>
      </c>
      <c r="AF346" s="283" t="str">
        <f t="shared" si="60"/>
        <v>A679077</v>
      </c>
      <c r="AG346" s="283" t="str">
        <f>VLOOKUP(AF346,[2]AKT!$C$4:$E$324,3,FALSE)</f>
        <v>0942</v>
      </c>
    </row>
    <row r="347" spans="1:33">
      <c r="A347" s="290"/>
      <c r="B347" s="288" t="str">
        <f t="shared" si="61"/>
        <v/>
      </c>
      <c r="C347" s="290"/>
      <c r="D347" s="288" t="str">
        <f t="shared" si="62"/>
        <v/>
      </c>
      <c r="E347" s="289"/>
      <c r="F347" s="288" t="str">
        <f t="shared" si="63"/>
        <v/>
      </c>
      <c r="G347" s="288" t="str">
        <f t="shared" si="64"/>
        <v/>
      </c>
      <c r="H347" s="128"/>
      <c r="I347" s="128"/>
      <c r="J347" s="128"/>
      <c r="K347" s="286"/>
      <c r="L347" s="287"/>
      <c r="M347" s="287"/>
      <c r="N347" s="286"/>
      <c r="O347" s="291"/>
      <c r="P347" s="285"/>
      <c r="R347" s="283" t="str">
        <f t="shared" si="57"/>
        <v/>
      </c>
      <c r="S347" s="283" t="str">
        <f t="shared" si="58"/>
        <v/>
      </c>
      <c r="T347" s="283" t="str">
        <f t="shared" si="59"/>
        <v/>
      </c>
      <c r="AD347" s="283" t="s">
        <v>1956</v>
      </c>
      <c r="AE347" s="283" t="s">
        <v>1955</v>
      </c>
      <c r="AF347" s="283" t="str">
        <f t="shared" si="60"/>
        <v>A679077</v>
      </c>
      <c r="AG347" s="283" t="str">
        <f>VLOOKUP(AF347,[2]AKT!$C$4:$E$324,3,FALSE)</f>
        <v>0942</v>
      </c>
    </row>
    <row r="348" spans="1:33">
      <c r="A348" s="290"/>
      <c r="B348" s="288" t="str">
        <f t="shared" si="61"/>
        <v/>
      </c>
      <c r="C348" s="290"/>
      <c r="D348" s="288" t="str">
        <f t="shared" si="62"/>
        <v/>
      </c>
      <c r="E348" s="289"/>
      <c r="F348" s="288" t="str">
        <f t="shared" si="63"/>
        <v/>
      </c>
      <c r="G348" s="288" t="str">
        <f t="shared" si="64"/>
        <v/>
      </c>
      <c r="H348" s="128"/>
      <c r="I348" s="128"/>
      <c r="J348" s="128"/>
      <c r="K348" s="286"/>
      <c r="L348" s="287"/>
      <c r="M348" s="287"/>
      <c r="N348" s="286"/>
      <c r="O348" s="291"/>
      <c r="P348" s="285"/>
      <c r="R348" s="283" t="str">
        <f t="shared" si="57"/>
        <v/>
      </c>
      <c r="S348" s="283" t="str">
        <f t="shared" si="58"/>
        <v/>
      </c>
      <c r="T348" s="283" t="str">
        <f t="shared" si="59"/>
        <v/>
      </c>
      <c r="AD348" s="283" t="s">
        <v>1954</v>
      </c>
      <c r="AE348" s="283" t="s">
        <v>1953</v>
      </c>
      <c r="AF348" s="283" t="str">
        <f t="shared" si="60"/>
        <v>A679077</v>
      </c>
      <c r="AG348" s="283" t="str">
        <f>VLOOKUP(AF348,[2]AKT!$C$4:$E$324,3,FALSE)</f>
        <v>0942</v>
      </c>
    </row>
    <row r="349" spans="1:33">
      <c r="A349" s="290"/>
      <c r="B349" s="288" t="str">
        <f t="shared" si="61"/>
        <v/>
      </c>
      <c r="C349" s="290"/>
      <c r="D349" s="288" t="str">
        <f t="shared" si="62"/>
        <v/>
      </c>
      <c r="E349" s="289"/>
      <c r="F349" s="288" t="str">
        <f t="shared" si="63"/>
        <v/>
      </c>
      <c r="G349" s="288" t="str">
        <f t="shared" si="64"/>
        <v/>
      </c>
      <c r="H349" s="128"/>
      <c r="I349" s="128"/>
      <c r="J349" s="128"/>
      <c r="K349" s="286"/>
      <c r="L349" s="287"/>
      <c r="M349" s="287"/>
      <c r="N349" s="286"/>
      <c r="O349" s="291"/>
      <c r="P349" s="285"/>
      <c r="R349" s="283" t="str">
        <f t="shared" si="57"/>
        <v/>
      </c>
      <c r="S349" s="283" t="str">
        <f t="shared" si="58"/>
        <v/>
      </c>
      <c r="T349" s="283" t="str">
        <f t="shared" si="59"/>
        <v/>
      </c>
      <c r="AD349" s="283" t="s">
        <v>1952</v>
      </c>
      <c r="AE349" s="283" t="s">
        <v>1951</v>
      </c>
      <c r="AF349" s="283" t="str">
        <f t="shared" si="60"/>
        <v>A679077</v>
      </c>
      <c r="AG349" s="283" t="str">
        <f>VLOOKUP(AF349,[2]AKT!$C$4:$E$324,3,FALSE)</f>
        <v>0942</v>
      </c>
    </row>
    <row r="350" spans="1:33">
      <c r="A350" s="290"/>
      <c r="B350" s="288" t="str">
        <f t="shared" si="61"/>
        <v/>
      </c>
      <c r="C350" s="290"/>
      <c r="D350" s="288" t="str">
        <f t="shared" si="62"/>
        <v/>
      </c>
      <c r="E350" s="289"/>
      <c r="F350" s="288" t="str">
        <f t="shared" si="63"/>
        <v/>
      </c>
      <c r="G350" s="288" t="str">
        <f t="shared" si="64"/>
        <v/>
      </c>
      <c r="H350" s="128"/>
      <c r="I350" s="128"/>
      <c r="J350" s="128"/>
      <c r="K350" s="286"/>
      <c r="L350" s="287"/>
      <c r="M350" s="287"/>
      <c r="N350" s="286"/>
      <c r="O350" s="291"/>
      <c r="P350" s="285"/>
      <c r="R350" s="283" t="str">
        <f t="shared" si="57"/>
        <v/>
      </c>
      <c r="S350" s="283" t="str">
        <f t="shared" si="58"/>
        <v/>
      </c>
      <c r="T350" s="283" t="str">
        <f t="shared" si="59"/>
        <v/>
      </c>
      <c r="AD350" s="283" t="s">
        <v>1950</v>
      </c>
      <c r="AE350" s="283" t="s">
        <v>1949</v>
      </c>
      <c r="AF350" s="283" t="str">
        <f t="shared" si="60"/>
        <v>A679077</v>
      </c>
      <c r="AG350" s="283" t="str">
        <f>VLOOKUP(AF350,[2]AKT!$C$4:$E$324,3,FALSE)</f>
        <v>0942</v>
      </c>
    </row>
    <row r="351" spans="1:33">
      <c r="A351" s="290"/>
      <c r="B351" s="288" t="str">
        <f t="shared" si="61"/>
        <v/>
      </c>
      <c r="C351" s="290"/>
      <c r="D351" s="288" t="str">
        <f t="shared" si="62"/>
        <v/>
      </c>
      <c r="E351" s="289"/>
      <c r="F351" s="288" t="str">
        <f t="shared" si="63"/>
        <v/>
      </c>
      <c r="G351" s="288" t="str">
        <f t="shared" si="64"/>
        <v/>
      </c>
      <c r="H351" s="128"/>
      <c r="I351" s="128"/>
      <c r="J351" s="128"/>
      <c r="K351" s="286"/>
      <c r="L351" s="287"/>
      <c r="M351" s="287"/>
      <c r="N351" s="286"/>
      <c r="O351" s="291"/>
      <c r="P351" s="285"/>
      <c r="R351" s="283" t="str">
        <f t="shared" si="57"/>
        <v/>
      </c>
      <c r="S351" s="283" t="str">
        <f t="shared" si="58"/>
        <v/>
      </c>
      <c r="T351" s="283" t="str">
        <f t="shared" si="59"/>
        <v/>
      </c>
      <c r="AD351" s="283" t="s">
        <v>1948</v>
      </c>
      <c r="AE351" s="283" t="s">
        <v>1947</v>
      </c>
      <c r="AF351" s="283" t="str">
        <f t="shared" si="60"/>
        <v>A679077</v>
      </c>
      <c r="AG351" s="283" t="str">
        <f>VLOOKUP(AF351,[2]AKT!$C$4:$E$324,3,FALSE)</f>
        <v>0942</v>
      </c>
    </row>
    <row r="352" spans="1:33">
      <c r="A352" s="290"/>
      <c r="B352" s="288" t="str">
        <f t="shared" si="61"/>
        <v/>
      </c>
      <c r="C352" s="290"/>
      <c r="D352" s="288" t="str">
        <f t="shared" si="62"/>
        <v/>
      </c>
      <c r="E352" s="289"/>
      <c r="F352" s="288" t="str">
        <f t="shared" si="63"/>
        <v/>
      </c>
      <c r="G352" s="288" t="str">
        <f t="shared" si="64"/>
        <v/>
      </c>
      <c r="H352" s="128"/>
      <c r="I352" s="128"/>
      <c r="J352" s="128"/>
      <c r="K352" s="286"/>
      <c r="L352" s="287"/>
      <c r="M352" s="287"/>
      <c r="N352" s="286"/>
      <c r="O352" s="291"/>
      <c r="P352" s="285"/>
      <c r="R352" s="283" t="str">
        <f t="shared" si="57"/>
        <v/>
      </c>
      <c r="S352" s="283" t="str">
        <f t="shared" si="58"/>
        <v/>
      </c>
      <c r="T352" s="283" t="str">
        <f t="shared" si="59"/>
        <v/>
      </c>
      <c r="AD352" s="283" t="s">
        <v>1946</v>
      </c>
      <c r="AE352" s="283" t="s">
        <v>509</v>
      </c>
      <c r="AF352" s="283" t="str">
        <f t="shared" si="60"/>
        <v>A679077</v>
      </c>
      <c r="AG352" s="283" t="str">
        <f>VLOOKUP(AF352,[2]AKT!$C$4:$E$324,3,FALSE)</f>
        <v>0942</v>
      </c>
    </row>
    <row r="353" spans="1:33">
      <c r="A353" s="290"/>
      <c r="B353" s="288" t="str">
        <f t="shared" si="61"/>
        <v/>
      </c>
      <c r="C353" s="290"/>
      <c r="D353" s="288" t="str">
        <f t="shared" si="62"/>
        <v/>
      </c>
      <c r="E353" s="289"/>
      <c r="F353" s="288" t="str">
        <f t="shared" si="63"/>
        <v/>
      </c>
      <c r="G353" s="288" t="str">
        <f t="shared" si="64"/>
        <v/>
      </c>
      <c r="H353" s="128"/>
      <c r="I353" s="128"/>
      <c r="J353" s="128"/>
      <c r="K353" s="286"/>
      <c r="L353" s="287"/>
      <c r="M353" s="287"/>
      <c r="N353" s="286"/>
      <c r="O353" s="291"/>
      <c r="P353" s="285"/>
      <c r="R353" s="283" t="str">
        <f t="shared" si="57"/>
        <v/>
      </c>
      <c r="S353" s="283" t="str">
        <f t="shared" si="58"/>
        <v/>
      </c>
      <c r="T353" s="283" t="str">
        <f t="shared" si="59"/>
        <v/>
      </c>
      <c r="AD353" s="283" t="s">
        <v>1945</v>
      </c>
      <c r="AE353" s="283" t="s">
        <v>1944</v>
      </c>
      <c r="AF353" s="283" t="str">
        <f t="shared" si="60"/>
        <v>A679077</v>
      </c>
      <c r="AG353" s="283" t="str">
        <f>VLOOKUP(AF353,[2]AKT!$C$4:$E$324,3,FALSE)</f>
        <v>0942</v>
      </c>
    </row>
    <row r="354" spans="1:33">
      <c r="A354" s="290"/>
      <c r="B354" s="288" t="str">
        <f t="shared" si="61"/>
        <v/>
      </c>
      <c r="C354" s="290"/>
      <c r="D354" s="288" t="str">
        <f t="shared" si="62"/>
        <v/>
      </c>
      <c r="E354" s="289"/>
      <c r="F354" s="288" t="str">
        <f t="shared" si="63"/>
        <v/>
      </c>
      <c r="G354" s="288" t="str">
        <f t="shared" si="64"/>
        <v/>
      </c>
      <c r="H354" s="128"/>
      <c r="I354" s="128"/>
      <c r="J354" s="128"/>
      <c r="K354" s="286"/>
      <c r="L354" s="287"/>
      <c r="M354" s="287"/>
      <c r="N354" s="286"/>
      <c r="O354" s="291"/>
      <c r="P354" s="285"/>
      <c r="R354" s="283" t="str">
        <f t="shared" si="57"/>
        <v/>
      </c>
      <c r="S354" s="283" t="str">
        <f t="shared" si="58"/>
        <v/>
      </c>
      <c r="T354" s="283" t="str">
        <f t="shared" si="59"/>
        <v/>
      </c>
      <c r="AD354" s="283" t="s">
        <v>1943</v>
      </c>
      <c r="AE354" s="283" t="s">
        <v>1942</v>
      </c>
      <c r="AF354" s="283" t="str">
        <f t="shared" si="60"/>
        <v>A679077</v>
      </c>
      <c r="AG354" s="283" t="str">
        <f>VLOOKUP(AF354,[2]AKT!$C$4:$E$324,3,FALSE)</f>
        <v>0942</v>
      </c>
    </row>
    <row r="355" spans="1:33">
      <c r="A355" s="290"/>
      <c r="B355" s="288" t="str">
        <f t="shared" si="61"/>
        <v/>
      </c>
      <c r="C355" s="290"/>
      <c r="D355" s="288" t="str">
        <f t="shared" si="62"/>
        <v/>
      </c>
      <c r="E355" s="289"/>
      <c r="F355" s="288" t="str">
        <f t="shared" si="63"/>
        <v/>
      </c>
      <c r="G355" s="288" t="str">
        <f t="shared" si="64"/>
        <v/>
      </c>
      <c r="H355" s="128"/>
      <c r="I355" s="128"/>
      <c r="J355" s="128"/>
      <c r="K355" s="286"/>
      <c r="L355" s="287"/>
      <c r="M355" s="287"/>
      <c r="N355" s="286"/>
      <c r="O355" s="291"/>
      <c r="P355" s="285"/>
      <c r="R355" s="283" t="str">
        <f t="shared" si="57"/>
        <v/>
      </c>
      <c r="S355" s="283" t="str">
        <f t="shared" si="58"/>
        <v/>
      </c>
      <c r="T355" s="283" t="str">
        <f t="shared" si="59"/>
        <v/>
      </c>
      <c r="AD355" s="283" t="s">
        <v>1941</v>
      </c>
      <c r="AE355" s="283" t="s">
        <v>1940</v>
      </c>
      <c r="AF355" s="283" t="str">
        <f t="shared" si="60"/>
        <v>A679077</v>
      </c>
      <c r="AG355" s="283" t="str">
        <f>VLOOKUP(AF355,[2]AKT!$C$4:$E$324,3,FALSE)</f>
        <v>0942</v>
      </c>
    </row>
    <row r="356" spans="1:33">
      <c r="A356" s="290"/>
      <c r="B356" s="288" t="str">
        <f t="shared" si="61"/>
        <v/>
      </c>
      <c r="C356" s="290"/>
      <c r="D356" s="288" t="str">
        <f t="shared" si="62"/>
        <v/>
      </c>
      <c r="E356" s="289"/>
      <c r="F356" s="288" t="str">
        <f t="shared" si="63"/>
        <v/>
      </c>
      <c r="G356" s="288" t="str">
        <f t="shared" si="64"/>
        <v/>
      </c>
      <c r="H356" s="128"/>
      <c r="I356" s="128"/>
      <c r="J356" s="128"/>
      <c r="K356" s="286"/>
      <c r="L356" s="287"/>
      <c r="M356" s="287"/>
      <c r="N356" s="286"/>
      <c r="O356" s="291"/>
      <c r="P356" s="285"/>
      <c r="R356" s="283" t="str">
        <f t="shared" si="57"/>
        <v/>
      </c>
      <c r="S356" s="283" t="str">
        <f t="shared" si="58"/>
        <v/>
      </c>
      <c r="T356" s="283" t="str">
        <f t="shared" si="59"/>
        <v/>
      </c>
      <c r="AD356" s="283" t="s">
        <v>1939</v>
      </c>
      <c r="AE356" s="283" t="s">
        <v>1938</v>
      </c>
      <c r="AF356" s="283" t="str">
        <f t="shared" si="60"/>
        <v>A679077</v>
      </c>
      <c r="AG356" s="283" t="str">
        <f>VLOOKUP(AF356,[2]AKT!$C$4:$E$324,3,FALSE)</f>
        <v>0942</v>
      </c>
    </row>
    <row r="357" spans="1:33">
      <c r="A357" s="290"/>
      <c r="B357" s="288" t="str">
        <f t="shared" si="61"/>
        <v/>
      </c>
      <c r="C357" s="290"/>
      <c r="D357" s="288" t="str">
        <f t="shared" si="62"/>
        <v/>
      </c>
      <c r="E357" s="289"/>
      <c r="F357" s="288" t="str">
        <f t="shared" si="63"/>
        <v/>
      </c>
      <c r="G357" s="288" t="str">
        <f t="shared" si="64"/>
        <v/>
      </c>
      <c r="H357" s="128"/>
      <c r="I357" s="128"/>
      <c r="J357" s="128"/>
      <c r="K357" s="286"/>
      <c r="L357" s="287"/>
      <c r="M357" s="287"/>
      <c r="N357" s="286"/>
      <c r="O357" s="291"/>
      <c r="P357" s="285"/>
      <c r="R357" s="283" t="str">
        <f t="shared" si="57"/>
        <v/>
      </c>
      <c r="S357" s="283" t="str">
        <f t="shared" si="58"/>
        <v/>
      </c>
      <c r="T357" s="283" t="str">
        <f t="shared" si="59"/>
        <v/>
      </c>
      <c r="AD357" s="283" t="s">
        <v>1937</v>
      </c>
      <c r="AE357" s="283" t="s">
        <v>1936</v>
      </c>
      <c r="AF357" s="283" t="str">
        <f t="shared" si="60"/>
        <v>A679077</v>
      </c>
      <c r="AG357" s="283" t="str">
        <f>VLOOKUP(AF357,[2]AKT!$C$4:$E$324,3,FALSE)</f>
        <v>0942</v>
      </c>
    </row>
    <row r="358" spans="1:33">
      <c r="A358" s="290"/>
      <c r="B358" s="288" t="str">
        <f t="shared" si="61"/>
        <v/>
      </c>
      <c r="C358" s="290"/>
      <c r="D358" s="288" t="str">
        <f t="shared" si="62"/>
        <v/>
      </c>
      <c r="E358" s="289"/>
      <c r="F358" s="288" t="str">
        <f t="shared" si="63"/>
        <v/>
      </c>
      <c r="G358" s="288" t="str">
        <f t="shared" si="64"/>
        <v/>
      </c>
      <c r="H358" s="128"/>
      <c r="I358" s="128"/>
      <c r="J358" s="128"/>
      <c r="K358" s="286"/>
      <c r="L358" s="287"/>
      <c r="M358" s="287"/>
      <c r="N358" s="286"/>
      <c r="O358" s="291"/>
      <c r="P358" s="285"/>
      <c r="R358" s="283" t="str">
        <f t="shared" si="57"/>
        <v/>
      </c>
      <c r="S358" s="283" t="str">
        <f t="shared" si="58"/>
        <v/>
      </c>
      <c r="T358" s="283" t="str">
        <f t="shared" si="59"/>
        <v/>
      </c>
      <c r="AD358" s="283" t="s">
        <v>1935</v>
      </c>
      <c r="AE358" s="283" t="s">
        <v>1934</v>
      </c>
      <c r="AF358" s="283" t="str">
        <f t="shared" si="60"/>
        <v>A679077</v>
      </c>
      <c r="AG358" s="283" t="str">
        <f>VLOOKUP(AF358,[2]AKT!$C$4:$E$324,3,FALSE)</f>
        <v>0942</v>
      </c>
    </row>
    <row r="359" spans="1:33">
      <c r="A359" s="290"/>
      <c r="B359" s="288" t="str">
        <f t="shared" si="61"/>
        <v/>
      </c>
      <c r="C359" s="290"/>
      <c r="D359" s="288" t="str">
        <f t="shared" si="62"/>
        <v/>
      </c>
      <c r="E359" s="289"/>
      <c r="F359" s="288" t="str">
        <f t="shared" si="63"/>
        <v/>
      </c>
      <c r="G359" s="288" t="str">
        <f t="shared" si="64"/>
        <v/>
      </c>
      <c r="H359" s="128"/>
      <c r="I359" s="128"/>
      <c r="J359" s="128"/>
      <c r="K359" s="286"/>
      <c r="L359" s="287"/>
      <c r="M359" s="287"/>
      <c r="N359" s="286"/>
      <c r="O359" s="291"/>
      <c r="P359" s="285"/>
      <c r="R359" s="283" t="str">
        <f t="shared" si="57"/>
        <v/>
      </c>
      <c r="S359" s="283" t="str">
        <f t="shared" si="58"/>
        <v/>
      </c>
      <c r="T359" s="283" t="str">
        <f t="shared" si="59"/>
        <v/>
      </c>
      <c r="AD359" s="283" t="s">
        <v>1933</v>
      </c>
      <c r="AE359" s="283" t="s">
        <v>1932</v>
      </c>
      <c r="AF359" s="283" t="str">
        <f t="shared" si="60"/>
        <v>A679077</v>
      </c>
      <c r="AG359" s="283" t="str">
        <f>VLOOKUP(AF359,[2]AKT!$C$4:$E$324,3,FALSE)</f>
        <v>0942</v>
      </c>
    </row>
    <row r="360" spans="1:33">
      <c r="A360" s="290"/>
      <c r="B360" s="288" t="str">
        <f t="shared" si="61"/>
        <v/>
      </c>
      <c r="C360" s="290"/>
      <c r="D360" s="288" t="str">
        <f t="shared" si="62"/>
        <v/>
      </c>
      <c r="E360" s="289"/>
      <c r="F360" s="288" t="str">
        <f t="shared" si="63"/>
        <v/>
      </c>
      <c r="G360" s="288" t="str">
        <f t="shared" si="64"/>
        <v/>
      </c>
      <c r="H360" s="128"/>
      <c r="I360" s="128"/>
      <c r="J360" s="128"/>
      <c r="K360" s="286"/>
      <c r="L360" s="287"/>
      <c r="M360" s="287"/>
      <c r="N360" s="286"/>
      <c r="O360" s="291"/>
      <c r="P360" s="285"/>
      <c r="R360" s="283" t="str">
        <f t="shared" si="57"/>
        <v/>
      </c>
      <c r="S360" s="283" t="str">
        <f t="shared" si="58"/>
        <v/>
      </c>
      <c r="T360" s="283" t="str">
        <f t="shared" si="59"/>
        <v/>
      </c>
      <c r="AD360" s="283" t="s">
        <v>1931</v>
      </c>
      <c r="AE360" s="283" t="s">
        <v>1930</v>
      </c>
      <c r="AF360" s="283" t="str">
        <f t="shared" si="60"/>
        <v>A679077</v>
      </c>
      <c r="AG360" s="283" t="str">
        <f>VLOOKUP(AF360,[2]AKT!$C$4:$E$324,3,FALSE)</f>
        <v>0942</v>
      </c>
    </row>
    <row r="361" spans="1:33">
      <c r="A361" s="290"/>
      <c r="B361" s="288" t="str">
        <f t="shared" si="61"/>
        <v/>
      </c>
      <c r="C361" s="290"/>
      <c r="D361" s="288" t="str">
        <f t="shared" si="62"/>
        <v/>
      </c>
      <c r="E361" s="289"/>
      <c r="F361" s="288" t="str">
        <f t="shared" si="63"/>
        <v/>
      </c>
      <c r="G361" s="288" t="str">
        <f t="shared" si="64"/>
        <v/>
      </c>
      <c r="H361" s="128"/>
      <c r="I361" s="128"/>
      <c r="J361" s="128"/>
      <c r="K361" s="286"/>
      <c r="L361" s="287"/>
      <c r="M361" s="287"/>
      <c r="N361" s="286"/>
      <c r="O361" s="291"/>
      <c r="P361" s="285"/>
      <c r="R361" s="283" t="str">
        <f t="shared" si="57"/>
        <v/>
      </c>
      <c r="S361" s="283" t="str">
        <f t="shared" si="58"/>
        <v/>
      </c>
      <c r="T361" s="283" t="str">
        <f t="shared" si="59"/>
        <v/>
      </c>
      <c r="AD361" s="283" t="s">
        <v>1929</v>
      </c>
      <c r="AE361" s="283" t="s">
        <v>1928</v>
      </c>
      <c r="AF361" s="283" t="str">
        <f t="shared" si="60"/>
        <v>A679077</v>
      </c>
      <c r="AG361" s="283" t="str">
        <f>VLOOKUP(AF361,[2]AKT!$C$4:$E$324,3,FALSE)</f>
        <v>0942</v>
      </c>
    </row>
    <row r="362" spans="1:33">
      <c r="A362" s="290"/>
      <c r="B362" s="288" t="str">
        <f t="shared" si="61"/>
        <v/>
      </c>
      <c r="C362" s="290"/>
      <c r="D362" s="288" t="str">
        <f t="shared" si="62"/>
        <v/>
      </c>
      <c r="E362" s="289"/>
      <c r="F362" s="288" t="str">
        <f t="shared" si="63"/>
        <v/>
      </c>
      <c r="G362" s="288" t="str">
        <f t="shared" si="64"/>
        <v/>
      </c>
      <c r="H362" s="128"/>
      <c r="I362" s="128"/>
      <c r="J362" s="128"/>
      <c r="K362" s="286"/>
      <c r="L362" s="287"/>
      <c r="M362" s="287"/>
      <c r="N362" s="286"/>
      <c r="O362" s="291"/>
      <c r="P362" s="285"/>
      <c r="R362" s="283" t="str">
        <f t="shared" si="57"/>
        <v/>
      </c>
      <c r="S362" s="283" t="str">
        <f t="shared" si="58"/>
        <v/>
      </c>
      <c r="T362" s="283" t="str">
        <f t="shared" si="59"/>
        <v/>
      </c>
      <c r="AD362" s="283" t="s">
        <v>1927</v>
      </c>
      <c r="AE362" s="283" t="s">
        <v>1926</v>
      </c>
      <c r="AF362" s="283" t="str">
        <f t="shared" si="60"/>
        <v>A679077</v>
      </c>
      <c r="AG362" s="283" t="str">
        <f>VLOOKUP(AF362,[2]AKT!$C$4:$E$324,3,FALSE)</f>
        <v>0942</v>
      </c>
    </row>
    <row r="363" spans="1:33">
      <c r="A363" s="290"/>
      <c r="B363" s="288" t="str">
        <f t="shared" si="61"/>
        <v/>
      </c>
      <c r="C363" s="290"/>
      <c r="D363" s="288" t="str">
        <f t="shared" si="62"/>
        <v/>
      </c>
      <c r="E363" s="289"/>
      <c r="F363" s="288" t="str">
        <f t="shared" si="63"/>
        <v/>
      </c>
      <c r="G363" s="288" t="str">
        <f t="shared" si="64"/>
        <v/>
      </c>
      <c r="H363" s="128"/>
      <c r="I363" s="128"/>
      <c r="J363" s="128"/>
      <c r="K363" s="286"/>
      <c r="L363" s="287"/>
      <c r="M363" s="287"/>
      <c r="N363" s="286"/>
      <c r="O363" s="291"/>
      <c r="P363" s="285"/>
      <c r="R363" s="283" t="str">
        <f t="shared" si="57"/>
        <v/>
      </c>
      <c r="S363" s="283" t="str">
        <f t="shared" si="58"/>
        <v/>
      </c>
      <c r="T363" s="283" t="str">
        <f t="shared" si="59"/>
        <v/>
      </c>
      <c r="AD363" s="283" t="s">
        <v>1925</v>
      </c>
      <c r="AE363" s="283" t="s">
        <v>1924</v>
      </c>
      <c r="AF363" s="283" t="str">
        <f t="shared" si="60"/>
        <v>A679077</v>
      </c>
      <c r="AG363" s="283" t="str">
        <f>VLOOKUP(AF363,[2]AKT!$C$4:$E$324,3,FALSE)</f>
        <v>0942</v>
      </c>
    </row>
    <row r="364" spans="1:33">
      <c r="A364" s="290"/>
      <c r="B364" s="288" t="str">
        <f t="shared" si="61"/>
        <v/>
      </c>
      <c r="C364" s="290"/>
      <c r="D364" s="288" t="str">
        <f t="shared" si="62"/>
        <v/>
      </c>
      <c r="E364" s="289"/>
      <c r="F364" s="288" t="str">
        <f t="shared" si="63"/>
        <v/>
      </c>
      <c r="G364" s="288" t="str">
        <f t="shared" si="64"/>
        <v/>
      </c>
      <c r="H364" s="128"/>
      <c r="I364" s="128"/>
      <c r="J364" s="128"/>
      <c r="K364" s="286"/>
      <c r="L364" s="287"/>
      <c r="M364" s="287"/>
      <c r="N364" s="286"/>
      <c r="O364" s="291"/>
      <c r="P364" s="285"/>
      <c r="R364" s="283" t="str">
        <f t="shared" si="57"/>
        <v/>
      </c>
      <c r="S364" s="283" t="str">
        <f t="shared" si="58"/>
        <v/>
      </c>
      <c r="T364" s="283" t="str">
        <f t="shared" si="59"/>
        <v/>
      </c>
      <c r="AD364" s="283" t="s">
        <v>1923</v>
      </c>
      <c r="AE364" s="283" t="s">
        <v>1922</v>
      </c>
      <c r="AF364" s="283" t="str">
        <f t="shared" si="60"/>
        <v>A679077</v>
      </c>
      <c r="AG364" s="283" t="str">
        <f>VLOOKUP(AF364,[2]AKT!$C$4:$E$324,3,FALSE)</f>
        <v>0942</v>
      </c>
    </row>
    <row r="365" spans="1:33">
      <c r="A365" s="290"/>
      <c r="B365" s="288" t="str">
        <f t="shared" si="61"/>
        <v/>
      </c>
      <c r="C365" s="290"/>
      <c r="D365" s="288" t="str">
        <f t="shared" si="62"/>
        <v/>
      </c>
      <c r="E365" s="289"/>
      <c r="F365" s="288" t="str">
        <f t="shared" si="63"/>
        <v/>
      </c>
      <c r="G365" s="288" t="str">
        <f t="shared" si="64"/>
        <v/>
      </c>
      <c r="H365" s="128"/>
      <c r="I365" s="128"/>
      <c r="J365" s="128"/>
      <c r="K365" s="286"/>
      <c r="L365" s="287"/>
      <c r="M365" s="287"/>
      <c r="N365" s="286"/>
      <c r="O365" s="291"/>
      <c r="P365" s="285"/>
      <c r="R365" s="283" t="str">
        <f t="shared" si="57"/>
        <v/>
      </c>
      <c r="S365" s="283" t="str">
        <f t="shared" si="58"/>
        <v/>
      </c>
      <c r="T365" s="283" t="str">
        <f t="shared" si="59"/>
        <v/>
      </c>
      <c r="AD365" s="283" t="s">
        <v>1921</v>
      </c>
      <c r="AE365" s="283" t="s">
        <v>1920</v>
      </c>
      <c r="AF365" s="283" t="str">
        <f t="shared" si="60"/>
        <v>A679077</v>
      </c>
      <c r="AG365" s="283" t="str">
        <f>VLOOKUP(AF365,[2]AKT!$C$4:$E$324,3,FALSE)</f>
        <v>0942</v>
      </c>
    </row>
    <row r="366" spans="1:33">
      <c r="A366" s="290"/>
      <c r="B366" s="288" t="str">
        <f t="shared" si="61"/>
        <v/>
      </c>
      <c r="C366" s="290"/>
      <c r="D366" s="288" t="str">
        <f t="shared" si="62"/>
        <v/>
      </c>
      <c r="E366" s="289"/>
      <c r="F366" s="288" t="str">
        <f t="shared" si="63"/>
        <v/>
      </c>
      <c r="G366" s="288" t="str">
        <f t="shared" si="64"/>
        <v/>
      </c>
      <c r="H366" s="128"/>
      <c r="I366" s="128"/>
      <c r="J366" s="128"/>
      <c r="K366" s="286"/>
      <c r="L366" s="287"/>
      <c r="M366" s="287"/>
      <c r="N366" s="286"/>
      <c r="O366" s="291"/>
      <c r="P366" s="285"/>
      <c r="R366" s="283" t="str">
        <f t="shared" si="57"/>
        <v/>
      </c>
      <c r="S366" s="283" t="str">
        <f t="shared" si="58"/>
        <v/>
      </c>
      <c r="T366" s="283" t="str">
        <f t="shared" si="59"/>
        <v/>
      </c>
      <c r="AD366" s="283" t="s">
        <v>1919</v>
      </c>
      <c r="AE366" s="283" t="s">
        <v>1918</v>
      </c>
      <c r="AF366" s="283" t="str">
        <f t="shared" si="60"/>
        <v>A679077</v>
      </c>
      <c r="AG366" s="283" t="str">
        <f>VLOOKUP(AF366,[2]AKT!$C$4:$E$324,3,FALSE)</f>
        <v>0942</v>
      </c>
    </row>
    <row r="367" spans="1:33">
      <c r="A367" s="290"/>
      <c r="B367" s="288" t="str">
        <f t="shared" si="61"/>
        <v/>
      </c>
      <c r="C367" s="290"/>
      <c r="D367" s="288" t="str">
        <f t="shared" si="62"/>
        <v/>
      </c>
      <c r="E367" s="289"/>
      <c r="F367" s="288" t="str">
        <f t="shared" si="63"/>
        <v/>
      </c>
      <c r="G367" s="288" t="str">
        <f t="shared" si="64"/>
        <v/>
      </c>
      <c r="H367" s="128"/>
      <c r="I367" s="128"/>
      <c r="J367" s="128"/>
      <c r="K367" s="286"/>
      <c r="L367" s="287"/>
      <c r="M367" s="287"/>
      <c r="N367" s="286"/>
      <c r="O367" s="291"/>
      <c r="P367" s="285"/>
      <c r="R367" s="283" t="str">
        <f t="shared" si="57"/>
        <v/>
      </c>
      <c r="S367" s="283" t="str">
        <f t="shared" si="58"/>
        <v/>
      </c>
      <c r="T367" s="283" t="str">
        <f t="shared" si="59"/>
        <v/>
      </c>
      <c r="AD367" s="283" t="s">
        <v>1917</v>
      </c>
      <c r="AE367" s="283" t="s">
        <v>1916</v>
      </c>
      <c r="AF367" s="283" t="str">
        <f t="shared" si="60"/>
        <v>A679077</v>
      </c>
      <c r="AG367" s="283" t="str">
        <f>VLOOKUP(AF367,[2]AKT!$C$4:$E$324,3,FALSE)</f>
        <v>0942</v>
      </c>
    </row>
    <row r="368" spans="1:33">
      <c r="A368" s="290"/>
      <c r="B368" s="288" t="str">
        <f t="shared" si="61"/>
        <v/>
      </c>
      <c r="C368" s="290"/>
      <c r="D368" s="288" t="str">
        <f t="shared" si="62"/>
        <v/>
      </c>
      <c r="E368" s="289"/>
      <c r="F368" s="288" t="str">
        <f t="shared" si="63"/>
        <v/>
      </c>
      <c r="G368" s="288" t="str">
        <f t="shared" si="64"/>
        <v/>
      </c>
      <c r="H368" s="128"/>
      <c r="I368" s="128"/>
      <c r="J368" s="128"/>
      <c r="K368" s="286"/>
      <c r="L368" s="287"/>
      <c r="M368" s="287"/>
      <c r="N368" s="286"/>
      <c r="O368" s="291"/>
      <c r="P368" s="285"/>
      <c r="R368" s="283" t="str">
        <f t="shared" si="57"/>
        <v/>
      </c>
      <c r="S368" s="283" t="str">
        <f t="shared" si="58"/>
        <v/>
      </c>
      <c r="T368" s="283" t="str">
        <f t="shared" si="59"/>
        <v/>
      </c>
      <c r="AD368" s="283" t="s">
        <v>1915</v>
      </c>
      <c r="AE368" s="283" t="s">
        <v>1914</v>
      </c>
      <c r="AF368" s="283" t="str">
        <f t="shared" si="60"/>
        <v>A679077</v>
      </c>
      <c r="AG368" s="283" t="str">
        <f>VLOOKUP(AF368,[2]AKT!$C$4:$E$324,3,FALSE)</f>
        <v>0942</v>
      </c>
    </row>
    <row r="369" spans="1:33">
      <c r="A369" s="290"/>
      <c r="B369" s="288" t="str">
        <f t="shared" si="61"/>
        <v/>
      </c>
      <c r="C369" s="290"/>
      <c r="D369" s="288" t="str">
        <f t="shared" si="62"/>
        <v/>
      </c>
      <c r="E369" s="289"/>
      <c r="F369" s="288" t="str">
        <f t="shared" si="63"/>
        <v/>
      </c>
      <c r="G369" s="288" t="str">
        <f t="shared" si="64"/>
        <v/>
      </c>
      <c r="H369" s="128"/>
      <c r="I369" s="128"/>
      <c r="J369" s="128"/>
      <c r="K369" s="286"/>
      <c r="L369" s="287"/>
      <c r="M369" s="287"/>
      <c r="N369" s="286"/>
      <c r="O369" s="291"/>
      <c r="P369" s="285"/>
      <c r="R369" s="283" t="str">
        <f t="shared" si="57"/>
        <v/>
      </c>
      <c r="S369" s="283" t="str">
        <f t="shared" si="58"/>
        <v/>
      </c>
      <c r="T369" s="283" t="str">
        <f t="shared" si="59"/>
        <v/>
      </c>
      <c r="AD369" s="283" t="s">
        <v>1913</v>
      </c>
      <c r="AE369" s="283" t="s">
        <v>1912</v>
      </c>
      <c r="AF369" s="283" t="str">
        <f t="shared" si="60"/>
        <v>A679077</v>
      </c>
      <c r="AG369" s="283" t="str">
        <f>VLOOKUP(AF369,[2]AKT!$C$4:$E$324,3,FALSE)</f>
        <v>0942</v>
      </c>
    </row>
    <row r="370" spans="1:33">
      <c r="A370" s="290"/>
      <c r="B370" s="288" t="str">
        <f t="shared" si="61"/>
        <v/>
      </c>
      <c r="C370" s="290"/>
      <c r="D370" s="288" t="str">
        <f t="shared" si="62"/>
        <v/>
      </c>
      <c r="E370" s="289"/>
      <c r="F370" s="288" t="str">
        <f t="shared" si="63"/>
        <v/>
      </c>
      <c r="G370" s="288" t="str">
        <f t="shared" si="64"/>
        <v/>
      </c>
      <c r="H370" s="128"/>
      <c r="I370" s="128"/>
      <c r="J370" s="128"/>
      <c r="K370" s="286"/>
      <c r="L370" s="287"/>
      <c r="M370" s="287"/>
      <c r="N370" s="286"/>
      <c r="O370" s="291"/>
      <c r="P370" s="285"/>
      <c r="R370" s="283" t="str">
        <f t="shared" si="57"/>
        <v/>
      </c>
      <c r="S370" s="283" t="str">
        <f t="shared" si="58"/>
        <v/>
      </c>
      <c r="T370" s="283" t="str">
        <f t="shared" si="59"/>
        <v/>
      </c>
      <c r="AD370" s="283" t="s">
        <v>1911</v>
      </c>
      <c r="AE370" s="283" t="s">
        <v>1910</v>
      </c>
      <c r="AF370" s="283" t="str">
        <f t="shared" si="60"/>
        <v>A679077</v>
      </c>
      <c r="AG370" s="283" t="str">
        <f>VLOOKUP(AF370,[2]AKT!$C$4:$E$324,3,FALSE)</f>
        <v>0942</v>
      </c>
    </row>
    <row r="371" spans="1:33">
      <c r="A371" s="290"/>
      <c r="B371" s="288" t="str">
        <f t="shared" si="61"/>
        <v/>
      </c>
      <c r="C371" s="290"/>
      <c r="D371" s="288" t="str">
        <f t="shared" si="62"/>
        <v/>
      </c>
      <c r="E371" s="289"/>
      <c r="F371" s="288" t="str">
        <f t="shared" si="63"/>
        <v/>
      </c>
      <c r="G371" s="288" t="str">
        <f t="shared" si="64"/>
        <v/>
      </c>
      <c r="H371" s="128"/>
      <c r="I371" s="128"/>
      <c r="J371" s="128"/>
      <c r="K371" s="286"/>
      <c r="L371" s="287"/>
      <c r="M371" s="287"/>
      <c r="N371" s="286"/>
      <c r="O371" s="291"/>
      <c r="P371" s="285"/>
      <c r="R371" s="283" t="str">
        <f t="shared" si="57"/>
        <v/>
      </c>
      <c r="S371" s="283" t="str">
        <f t="shared" si="58"/>
        <v/>
      </c>
      <c r="T371" s="283" t="str">
        <f t="shared" si="59"/>
        <v/>
      </c>
      <c r="AD371" s="283" t="s">
        <v>1909</v>
      </c>
      <c r="AE371" s="283" t="s">
        <v>1908</v>
      </c>
      <c r="AF371" s="283" t="str">
        <f t="shared" si="60"/>
        <v>A679077</v>
      </c>
      <c r="AG371" s="283" t="str">
        <f>VLOOKUP(AF371,[2]AKT!$C$4:$E$324,3,FALSE)</f>
        <v>0942</v>
      </c>
    </row>
    <row r="372" spans="1:33">
      <c r="A372" s="290"/>
      <c r="B372" s="288" t="str">
        <f t="shared" si="61"/>
        <v/>
      </c>
      <c r="C372" s="290"/>
      <c r="D372" s="288" t="str">
        <f t="shared" si="62"/>
        <v/>
      </c>
      <c r="E372" s="289"/>
      <c r="F372" s="288" t="str">
        <f t="shared" si="63"/>
        <v/>
      </c>
      <c r="G372" s="288" t="str">
        <f t="shared" si="64"/>
        <v/>
      </c>
      <c r="H372" s="128"/>
      <c r="I372" s="128"/>
      <c r="J372" s="128"/>
      <c r="K372" s="286"/>
      <c r="L372" s="287"/>
      <c r="M372" s="287"/>
      <c r="N372" s="286"/>
      <c r="O372" s="291"/>
      <c r="P372" s="285"/>
      <c r="R372" s="283" t="str">
        <f t="shared" si="57"/>
        <v/>
      </c>
      <c r="S372" s="283" t="str">
        <f t="shared" si="58"/>
        <v/>
      </c>
      <c r="T372" s="283" t="str">
        <f t="shared" si="59"/>
        <v/>
      </c>
      <c r="AD372" s="283" t="s">
        <v>1907</v>
      </c>
      <c r="AE372" s="283" t="s">
        <v>1906</v>
      </c>
      <c r="AF372" s="283" t="str">
        <f t="shared" si="60"/>
        <v>A679077</v>
      </c>
      <c r="AG372" s="283" t="str">
        <f>VLOOKUP(AF372,[2]AKT!$C$4:$E$324,3,FALSE)</f>
        <v>0942</v>
      </c>
    </row>
    <row r="373" spans="1:33">
      <c r="A373" s="290"/>
      <c r="B373" s="288" t="str">
        <f t="shared" si="61"/>
        <v/>
      </c>
      <c r="C373" s="290"/>
      <c r="D373" s="288" t="str">
        <f t="shared" si="62"/>
        <v/>
      </c>
      <c r="E373" s="289"/>
      <c r="F373" s="288" t="str">
        <f t="shared" si="63"/>
        <v/>
      </c>
      <c r="G373" s="288" t="str">
        <f t="shared" si="64"/>
        <v/>
      </c>
      <c r="H373" s="128"/>
      <c r="I373" s="128"/>
      <c r="J373" s="128"/>
      <c r="K373" s="286"/>
      <c r="L373" s="287"/>
      <c r="M373" s="287"/>
      <c r="N373" s="286"/>
      <c r="O373" s="291"/>
      <c r="P373" s="285"/>
      <c r="R373" s="283" t="str">
        <f t="shared" si="57"/>
        <v/>
      </c>
      <c r="S373" s="283" t="str">
        <f t="shared" si="58"/>
        <v/>
      </c>
      <c r="T373" s="283" t="str">
        <f t="shared" si="59"/>
        <v/>
      </c>
      <c r="AD373" s="283" t="s">
        <v>1905</v>
      </c>
      <c r="AE373" s="283" t="s">
        <v>1904</v>
      </c>
      <c r="AF373" s="283" t="str">
        <f t="shared" si="60"/>
        <v>A679077</v>
      </c>
      <c r="AG373" s="283" t="str">
        <f>VLOOKUP(AF373,[2]AKT!$C$4:$E$324,3,FALSE)</f>
        <v>0942</v>
      </c>
    </row>
    <row r="374" spans="1:33">
      <c r="A374" s="290"/>
      <c r="B374" s="288" t="str">
        <f t="shared" si="61"/>
        <v/>
      </c>
      <c r="C374" s="290"/>
      <c r="D374" s="288" t="str">
        <f t="shared" si="62"/>
        <v/>
      </c>
      <c r="E374" s="289"/>
      <c r="F374" s="288" t="str">
        <f t="shared" si="63"/>
        <v/>
      </c>
      <c r="G374" s="288" t="str">
        <f t="shared" si="64"/>
        <v/>
      </c>
      <c r="H374" s="128"/>
      <c r="I374" s="128"/>
      <c r="J374" s="128"/>
      <c r="K374" s="286"/>
      <c r="L374" s="287"/>
      <c r="M374" s="287"/>
      <c r="N374" s="286"/>
      <c r="O374" s="291"/>
      <c r="P374" s="285"/>
      <c r="R374" s="283" t="str">
        <f t="shared" si="57"/>
        <v/>
      </c>
      <c r="S374" s="283" t="str">
        <f t="shared" si="58"/>
        <v/>
      </c>
      <c r="T374" s="283" t="str">
        <f t="shared" si="59"/>
        <v/>
      </c>
      <c r="AD374" s="283" t="s">
        <v>1903</v>
      </c>
      <c r="AE374" s="283" t="s">
        <v>1902</v>
      </c>
      <c r="AF374" s="283" t="str">
        <f t="shared" si="60"/>
        <v>A679077</v>
      </c>
      <c r="AG374" s="283" t="str">
        <f>VLOOKUP(AF374,[2]AKT!$C$4:$E$324,3,FALSE)</f>
        <v>0942</v>
      </c>
    </row>
    <row r="375" spans="1:33">
      <c r="A375" s="290"/>
      <c r="B375" s="288" t="str">
        <f t="shared" si="61"/>
        <v/>
      </c>
      <c r="C375" s="290"/>
      <c r="D375" s="288" t="str">
        <f t="shared" si="62"/>
        <v/>
      </c>
      <c r="E375" s="289"/>
      <c r="F375" s="288" t="str">
        <f t="shared" si="63"/>
        <v/>
      </c>
      <c r="G375" s="288" t="str">
        <f t="shared" si="64"/>
        <v/>
      </c>
      <c r="H375" s="128"/>
      <c r="I375" s="128"/>
      <c r="J375" s="128"/>
      <c r="K375" s="286"/>
      <c r="L375" s="287"/>
      <c r="M375" s="287"/>
      <c r="N375" s="286"/>
      <c r="O375" s="291"/>
      <c r="P375" s="285"/>
      <c r="R375" s="283" t="str">
        <f t="shared" si="57"/>
        <v/>
      </c>
      <c r="S375" s="283" t="str">
        <f t="shared" si="58"/>
        <v/>
      </c>
      <c r="T375" s="283" t="str">
        <f t="shared" si="59"/>
        <v/>
      </c>
      <c r="AD375" s="283" t="s">
        <v>1901</v>
      </c>
      <c r="AE375" s="283" t="s">
        <v>1900</v>
      </c>
      <c r="AF375" s="283" t="str">
        <f t="shared" si="60"/>
        <v>A679077</v>
      </c>
      <c r="AG375" s="283" t="str">
        <f>VLOOKUP(AF375,[2]AKT!$C$4:$E$324,3,FALSE)</f>
        <v>0942</v>
      </c>
    </row>
    <row r="376" spans="1:33">
      <c r="A376" s="290"/>
      <c r="B376" s="288" t="str">
        <f t="shared" si="61"/>
        <v/>
      </c>
      <c r="C376" s="290"/>
      <c r="D376" s="288" t="str">
        <f t="shared" si="62"/>
        <v/>
      </c>
      <c r="E376" s="289"/>
      <c r="F376" s="288" t="str">
        <f t="shared" si="63"/>
        <v/>
      </c>
      <c r="G376" s="288" t="str">
        <f t="shared" si="64"/>
        <v/>
      </c>
      <c r="H376" s="128"/>
      <c r="I376" s="128"/>
      <c r="J376" s="128"/>
      <c r="K376" s="286"/>
      <c r="L376" s="287"/>
      <c r="M376" s="287"/>
      <c r="N376" s="286"/>
      <c r="O376" s="291"/>
      <c r="P376" s="285"/>
      <c r="R376" s="283" t="str">
        <f t="shared" si="57"/>
        <v/>
      </c>
      <c r="S376" s="283" t="str">
        <f t="shared" si="58"/>
        <v/>
      </c>
      <c r="T376" s="283" t="str">
        <f t="shared" si="59"/>
        <v/>
      </c>
      <c r="AD376" s="283" t="s">
        <v>1899</v>
      </c>
      <c r="AE376" s="283" t="s">
        <v>1898</v>
      </c>
      <c r="AF376" s="283" t="str">
        <f t="shared" si="60"/>
        <v>A679077</v>
      </c>
      <c r="AG376" s="283" t="str">
        <f>VLOOKUP(AF376,[2]AKT!$C$4:$E$324,3,FALSE)</f>
        <v>0942</v>
      </c>
    </row>
    <row r="377" spans="1:33">
      <c r="A377" s="290"/>
      <c r="B377" s="288" t="str">
        <f t="shared" si="61"/>
        <v/>
      </c>
      <c r="C377" s="290"/>
      <c r="D377" s="288" t="str">
        <f t="shared" si="62"/>
        <v/>
      </c>
      <c r="E377" s="289"/>
      <c r="F377" s="288" t="str">
        <f t="shared" si="63"/>
        <v/>
      </c>
      <c r="G377" s="288" t="str">
        <f t="shared" si="64"/>
        <v/>
      </c>
      <c r="H377" s="128"/>
      <c r="I377" s="128"/>
      <c r="J377" s="128"/>
      <c r="K377" s="286"/>
      <c r="L377" s="287"/>
      <c r="M377" s="287"/>
      <c r="N377" s="286"/>
      <c r="O377" s="291"/>
      <c r="P377" s="285"/>
      <c r="R377" s="283" t="str">
        <f t="shared" si="57"/>
        <v/>
      </c>
      <c r="S377" s="283" t="str">
        <f t="shared" si="58"/>
        <v/>
      </c>
      <c r="T377" s="283" t="str">
        <f t="shared" si="59"/>
        <v/>
      </c>
      <c r="AD377" s="283" t="s">
        <v>1897</v>
      </c>
      <c r="AE377" s="283" t="s">
        <v>1896</v>
      </c>
      <c r="AF377" s="283" t="str">
        <f t="shared" si="60"/>
        <v>A679077</v>
      </c>
      <c r="AG377" s="283" t="str">
        <f>VLOOKUP(AF377,[2]AKT!$C$4:$E$324,3,FALSE)</f>
        <v>0942</v>
      </c>
    </row>
    <row r="378" spans="1:33">
      <c r="A378" s="290"/>
      <c r="B378" s="288" t="str">
        <f t="shared" si="61"/>
        <v/>
      </c>
      <c r="C378" s="290"/>
      <c r="D378" s="288" t="str">
        <f t="shared" si="62"/>
        <v/>
      </c>
      <c r="E378" s="289"/>
      <c r="F378" s="288" t="str">
        <f t="shared" si="63"/>
        <v/>
      </c>
      <c r="G378" s="288" t="str">
        <f t="shared" si="64"/>
        <v/>
      </c>
      <c r="H378" s="128"/>
      <c r="I378" s="128"/>
      <c r="J378" s="128"/>
      <c r="K378" s="286"/>
      <c r="L378" s="287"/>
      <c r="M378" s="287"/>
      <c r="N378" s="286"/>
      <c r="O378" s="291"/>
      <c r="P378" s="285"/>
      <c r="R378" s="283" t="str">
        <f t="shared" si="57"/>
        <v/>
      </c>
      <c r="S378" s="283" t="str">
        <f t="shared" si="58"/>
        <v/>
      </c>
      <c r="T378" s="283" t="str">
        <f t="shared" si="59"/>
        <v/>
      </c>
      <c r="AD378" s="283" t="s">
        <v>1895</v>
      </c>
      <c r="AE378" s="283" t="s">
        <v>1894</v>
      </c>
      <c r="AF378" s="283" t="str">
        <f t="shared" si="60"/>
        <v>A679077</v>
      </c>
      <c r="AG378" s="283" t="str">
        <f>VLOOKUP(AF378,[2]AKT!$C$4:$E$324,3,FALSE)</f>
        <v>0942</v>
      </c>
    </row>
    <row r="379" spans="1:33">
      <c r="A379" s="290"/>
      <c r="B379" s="288" t="str">
        <f t="shared" si="61"/>
        <v/>
      </c>
      <c r="C379" s="290"/>
      <c r="D379" s="288" t="str">
        <f t="shared" si="62"/>
        <v/>
      </c>
      <c r="E379" s="289"/>
      <c r="F379" s="288" t="str">
        <f t="shared" si="63"/>
        <v/>
      </c>
      <c r="G379" s="288" t="str">
        <f t="shared" si="64"/>
        <v/>
      </c>
      <c r="H379" s="128"/>
      <c r="I379" s="128"/>
      <c r="J379" s="128"/>
      <c r="K379" s="286"/>
      <c r="L379" s="287"/>
      <c r="M379" s="287"/>
      <c r="N379" s="286"/>
      <c r="O379" s="291"/>
      <c r="P379" s="285"/>
      <c r="R379" s="283" t="str">
        <f t="shared" ref="R379:R442" si="65">LEFT(C379,3)</f>
        <v/>
      </c>
      <c r="S379" s="283" t="str">
        <f t="shared" ref="S379:S442" si="66">LEFT(C379,2)</f>
        <v/>
      </c>
      <c r="T379" s="283" t="str">
        <f t="shared" ref="T379:T442" si="67">MID(G379,2,2)</f>
        <v/>
      </c>
      <c r="AD379" s="283" t="s">
        <v>1893</v>
      </c>
      <c r="AE379" s="283" t="s">
        <v>1892</v>
      </c>
      <c r="AF379" s="283" t="str">
        <f t="shared" ref="AF379:AF442" si="68">LEFT(AD379,7)</f>
        <v>A679077</v>
      </c>
      <c r="AG379" s="283" t="str">
        <f>VLOOKUP(AF379,[2]AKT!$C$4:$E$324,3,FALSE)</f>
        <v>0942</v>
      </c>
    </row>
    <row r="380" spans="1:33">
      <c r="A380" s="290"/>
      <c r="B380" s="288" t="str">
        <f t="shared" si="61"/>
        <v/>
      </c>
      <c r="C380" s="290"/>
      <c r="D380" s="288" t="str">
        <f t="shared" si="62"/>
        <v/>
      </c>
      <c r="E380" s="289"/>
      <c r="F380" s="288" t="str">
        <f t="shared" si="63"/>
        <v/>
      </c>
      <c r="G380" s="288" t="str">
        <f t="shared" si="64"/>
        <v/>
      </c>
      <c r="H380" s="128"/>
      <c r="I380" s="128"/>
      <c r="J380" s="128"/>
      <c r="K380" s="286"/>
      <c r="L380" s="287"/>
      <c r="M380" s="287"/>
      <c r="N380" s="286"/>
      <c r="O380" s="291"/>
      <c r="P380" s="285"/>
      <c r="R380" s="283" t="str">
        <f t="shared" si="65"/>
        <v/>
      </c>
      <c r="S380" s="283" t="str">
        <f t="shared" si="66"/>
        <v/>
      </c>
      <c r="T380" s="283" t="str">
        <f t="shared" si="67"/>
        <v/>
      </c>
      <c r="AD380" s="283" t="s">
        <v>1891</v>
      </c>
      <c r="AE380" s="283" t="s">
        <v>1149</v>
      </c>
      <c r="AF380" s="283" t="str">
        <f t="shared" si="68"/>
        <v>A679077</v>
      </c>
      <c r="AG380" s="283" t="str">
        <f>VLOOKUP(AF380,[2]AKT!$C$4:$E$324,3,FALSE)</f>
        <v>0942</v>
      </c>
    </row>
    <row r="381" spans="1:33">
      <c r="A381" s="290"/>
      <c r="B381" s="288" t="str">
        <f t="shared" si="61"/>
        <v/>
      </c>
      <c r="C381" s="290"/>
      <c r="D381" s="288" t="str">
        <f t="shared" si="62"/>
        <v/>
      </c>
      <c r="E381" s="289"/>
      <c r="F381" s="288" t="str">
        <f t="shared" si="63"/>
        <v/>
      </c>
      <c r="G381" s="288" t="str">
        <f t="shared" si="64"/>
        <v/>
      </c>
      <c r="H381" s="128"/>
      <c r="I381" s="128"/>
      <c r="J381" s="128"/>
      <c r="K381" s="286"/>
      <c r="L381" s="287"/>
      <c r="M381" s="287"/>
      <c r="N381" s="286"/>
      <c r="O381" s="291"/>
      <c r="P381" s="285"/>
      <c r="R381" s="283" t="str">
        <f t="shared" si="65"/>
        <v/>
      </c>
      <c r="S381" s="283" t="str">
        <f t="shared" si="66"/>
        <v/>
      </c>
      <c r="T381" s="283" t="str">
        <f t="shared" si="67"/>
        <v/>
      </c>
      <c r="AD381" s="283" t="s">
        <v>1890</v>
      </c>
      <c r="AE381" s="283" t="s">
        <v>1889</v>
      </c>
      <c r="AF381" s="283" t="str">
        <f t="shared" si="68"/>
        <v>A679077</v>
      </c>
      <c r="AG381" s="283" t="str">
        <f>VLOOKUP(AF381,[2]AKT!$C$4:$E$324,3,FALSE)</f>
        <v>0942</v>
      </c>
    </row>
    <row r="382" spans="1:33">
      <c r="A382" s="290"/>
      <c r="B382" s="288" t="str">
        <f t="shared" si="61"/>
        <v/>
      </c>
      <c r="C382" s="290"/>
      <c r="D382" s="288" t="str">
        <f t="shared" si="62"/>
        <v/>
      </c>
      <c r="E382" s="289"/>
      <c r="F382" s="288" t="str">
        <f t="shared" si="63"/>
        <v/>
      </c>
      <c r="G382" s="288" t="str">
        <f t="shared" si="64"/>
        <v/>
      </c>
      <c r="H382" s="128"/>
      <c r="I382" s="128"/>
      <c r="J382" s="128"/>
      <c r="K382" s="286"/>
      <c r="L382" s="287"/>
      <c r="M382" s="287"/>
      <c r="N382" s="286"/>
      <c r="O382" s="291"/>
      <c r="P382" s="285"/>
      <c r="R382" s="283" t="str">
        <f t="shared" si="65"/>
        <v/>
      </c>
      <c r="S382" s="283" t="str">
        <f t="shared" si="66"/>
        <v/>
      </c>
      <c r="T382" s="283" t="str">
        <f t="shared" si="67"/>
        <v/>
      </c>
      <c r="AD382" s="283" t="s">
        <v>1888</v>
      </c>
      <c r="AE382" s="283" t="s">
        <v>1887</v>
      </c>
      <c r="AF382" s="283" t="str">
        <f t="shared" si="68"/>
        <v>A679077</v>
      </c>
      <c r="AG382" s="283" t="str">
        <f>VLOOKUP(AF382,[2]AKT!$C$4:$E$324,3,FALSE)</f>
        <v>0942</v>
      </c>
    </row>
    <row r="383" spans="1:33">
      <c r="A383" s="290"/>
      <c r="B383" s="288" t="str">
        <f t="shared" si="61"/>
        <v/>
      </c>
      <c r="C383" s="290"/>
      <c r="D383" s="288" t="str">
        <f t="shared" si="62"/>
        <v/>
      </c>
      <c r="E383" s="289"/>
      <c r="F383" s="288" t="str">
        <f t="shared" si="63"/>
        <v/>
      </c>
      <c r="G383" s="288" t="str">
        <f t="shared" si="64"/>
        <v/>
      </c>
      <c r="H383" s="128"/>
      <c r="I383" s="128"/>
      <c r="J383" s="128"/>
      <c r="K383" s="286"/>
      <c r="L383" s="287"/>
      <c r="M383" s="287"/>
      <c r="N383" s="286"/>
      <c r="O383" s="291"/>
      <c r="P383" s="285"/>
      <c r="R383" s="283" t="str">
        <f t="shared" si="65"/>
        <v/>
      </c>
      <c r="S383" s="283" t="str">
        <f t="shared" si="66"/>
        <v/>
      </c>
      <c r="T383" s="283" t="str">
        <f t="shared" si="67"/>
        <v/>
      </c>
      <c r="AD383" s="283" t="s">
        <v>1886</v>
      </c>
      <c r="AE383" s="283" t="s">
        <v>1885</v>
      </c>
      <c r="AF383" s="283" t="str">
        <f t="shared" si="68"/>
        <v>A679077</v>
      </c>
      <c r="AG383" s="283" t="str">
        <f>VLOOKUP(AF383,[2]AKT!$C$4:$E$324,3,FALSE)</f>
        <v>0942</v>
      </c>
    </row>
    <row r="384" spans="1:33">
      <c r="A384" s="290"/>
      <c r="B384" s="288" t="str">
        <f t="shared" si="61"/>
        <v/>
      </c>
      <c r="C384" s="290"/>
      <c r="D384" s="288" t="str">
        <f t="shared" si="62"/>
        <v/>
      </c>
      <c r="E384" s="289"/>
      <c r="F384" s="288" t="str">
        <f t="shared" si="63"/>
        <v/>
      </c>
      <c r="G384" s="288" t="str">
        <f t="shared" si="64"/>
        <v/>
      </c>
      <c r="H384" s="128"/>
      <c r="I384" s="128"/>
      <c r="J384" s="128"/>
      <c r="K384" s="286"/>
      <c r="L384" s="287"/>
      <c r="M384" s="287"/>
      <c r="N384" s="286"/>
      <c r="O384" s="291"/>
      <c r="P384" s="285"/>
      <c r="R384" s="283" t="str">
        <f t="shared" si="65"/>
        <v/>
      </c>
      <c r="S384" s="283" t="str">
        <f t="shared" si="66"/>
        <v/>
      </c>
      <c r="T384" s="283" t="str">
        <f t="shared" si="67"/>
        <v/>
      </c>
      <c r="AD384" s="283" t="s">
        <v>1884</v>
      </c>
      <c r="AE384" s="283" t="s">
        <v>1883</v>
      </c>
      <c r="AF384" s="283" t="str">
        <f t="shared" si="68"/>
        <v>A679077</v>
      </c>
      <c r="AG384" s="283" t="str">
        <f>VLOOKUP(AF384,[2]AKT!$C$4:$E$324,3,FALSE)</f>
        <v>0942</v>
      </c>
    </row>
    <row r="385" spans="1:33">
      <c r="A385" s="290"/>
      <c r="B385" s="288" t="str">
        <f t="shared" si="61"/>
        <v/>
      </c>
      <c r="C385" s="290"/>
      <c r="D385" s="288" t="str">
        <f t="shared" si="62"/>
        <v/>
      </c>
      <c r="E385" s="289"/>
      <c r="F385" s="288" t="str">
        <f t="shared" si="63"/>
        <v/>
      </c>
      <c r="G385" s="288" t="str">
        <f t="shared" si="64"/>
        <v/>
      </c>
      <c r="H385" s="128"/>
      <c r="I385" s="128"/>
      <c r="J385" s="128"/>
      <c r="K385" s="286"/>
      <c r="L385" s="287"/>
      <c r="M385" s="287"/>
      <c r="N385" s="286"/>
      <c r="O385" s="291"/>
      <c r="P385" s="285"/>
      <c r="R385" s="283" t="str">
        <f t="shared" si="65"/>
        <v/>
      </c>
      <c r="S385" s="283" t="str">
        <f t="shared" si="66"/>
        <v/>
      </c>
      <c r="T385" s="283" t="str">
        <f t="shared" si="67"/>
        <v/>
      </c>
      <c r="AD385" s="283" t="s">
        <v>1882</v>
      </c>
      <c r="AE385" s="283" t="s">
        <v>1881</v>
      </c>
      <c r="AF385" s="283" t="str">
        <f t="shared" si="68"/>
        <v>A679077</v>
      </c>
      <c r="AG385" s="283" t="str">
        <f>VLOOKUP(AF385,[2]AKT!$C$4:$E$324,3,FALSE)</f>
        <v>0942</v>
      </c>
    </row>
    <row r="386" spans="1:33">
      <c r="A386" s="290"/>
      <c r="B386" s="288" t="str">
        <f t="shared" si="61"/>
        <v/>
      </c>
      <c r="C386" s="290"/>
      <c r="D386" s="288" t="str">
        <f t="shared" si="62"/>
        <v/>
      </c>
      <c r="E386" s="289"/>
      <c r="F386" s="288" t="str">
        <f t="shared" si="63"/>
        <v/>
      </c>
      <c r="G386" s="288" t="str">
        <f t="shared" si="64"/>
        <v/>
      </c>
      <c r="H386" s="128"/>
      <c r="I386" s="128"/>
      <c r="J386" s="128"/>
      <c r="K386" s="286"/>
      <c r="L386" s="287"/>
      <c r="M386" s="287"/>
      <c r="N386" s="286"/>
      <c r="O386" s="291"/>
      <c r="P386" s="285"/>
      <c r="R386" s="283" t="str">
        <f t="shared" si="65"/>
        <v/>
      </c>
      <c r="S386" s="283" t="str">
        <f t="shared" si="66"/>
        <v/>
      </c>
      <c r="T386" s="283" t="str">
        <f t="shared" si="67"/>
        <v/>
      </c>
      <c r="AD386" s="283" t="s">
        <v>1880</v>
      </c>
      <c r="AE386" s="283" t="s">
        <v>1879</v>
      </c>
      <c r="AF386" s="283" t="str">
        <f t="shared" si="68"/>
        <v>A679077</v>
      </c>
      <c r="AG386" s="283" t="str">
        <f>VLOOKUP(AF386,[2]AKT!$C$4:$E$324,3,FALSE)</f>
        <v>0942</v>
      </c>
    </row>
    <row r="387" spans="1:33">
      <c r="A387" s="290"/>
      <c r="B387" s="288" t="str">
        <f t="shared" si="61"/>
        <v/>
      </c>
      <c r="C387" s="290"/>
      <c r="D387" s="288" t="str">
        <f t="shared" si="62"/>
        <v/>
      </c>
      <c r="E387" s="289"/>
      <c r="F387" s="288" t="str">
        <f t="shared" si="63"/>
        <v/>
      </c>
      <c r="G387" s="288" t="str">
        <f t="shared" si="64"/>
        <v/>
      </c>
      <c r="H387" s="128"/>
      <c r="I387" s="128"/>
      <c r="J387" s="128"/>
      <c r="K387" s="286"/>
      <c r="L387" s="287"/>
      <c r="M387" s="287"/>
      <c r="N387" s="286"/>
      <c r="O387" s="291"/>
      <c r="P387" s="285"/>
      <c r="R387" s="283" t="str">
        <f t="shared" si="65"/>
        <v/>
      </c>
      <c r="S387" s="283" t="str">
        <f t="shared" si="66"/>
        <v/>
      </c>
      <c r="T387" s="283" t="str">
        <f t="shared" si="67"/>
        <v/>
      </c>
      <c r="AD387" s="283" t="s">
        <v>1878</v>
      </c>
      <c r="AE387" s="283" t="s">
        <v>1877</v>
      </c>
      <c r="AF387" s="283" t="str">
        <f t="shared" si="68"/>
        <v>A679077</v>
      </c>
      <c r="AG387" s="283" t="str">
        <f>VLOOKUP(AF387,[2]AKT!$C$4:$E$324,3,FALSE)</f>
        <v>0942</v>
      </c>
    </row>
    <row r="388" spans="1:33">
      <c r="A388" s="290"/>
      <c r="B388" s="288" t="str">
        <f t="shared" si="61"/>
        <v/>
      </c>
      <c r="C388" s="290"/>
      <c r="D388" s="288" t="str">
        <f t="shared" si="62"/>
        <v/>
      </c>
      <c r="E388" s="289"/>
      <c r="F388" s="288" t="str">
        <f t="shared" si="63"/>
        <v/>
      </c>
      <c r="G388" s="288" t="str">
        <f t="shared" si="64"/>
        <v/>
      </c>
      <c r="H388" s="128"/>
      <c r="I388" s="128"/>
      <c r="J388" s="128"/>
      <c r="K388" s="286"/>
      <c r="L388" s="287"/>
      <c r="M388" s="287"/>
      <c r="N388" s="286"/>
      <c r="O388" s="291"/>
      <c r="P388" s="285"/>
      <c r="R388" s="283" t="str">
        <f t="shared" si="65"/>
        <v/>
      </c>
      <c r="S388" s="283" t="str">
        <f t="shared" si="66"/>
        <v/>
      </c>
      <c r="T388" s="283" t="str">
        <f t="shared" si="67"/>
        <v/>
      </c>
      <c r="AD388" s="283" t="s">
        <v>1876</v>
      </c>
      <c r="AE388" s="283" t="s">
        <v>1875</v>
      </c>
      <c r="AF388" s="283" t="str">
        <f t="shared" si="68"/>
        <v>A679077</v>
      </c>
      <c r="AG388" s="283" t="str">
        <f>VLOOKUP(AF388,[2]AKT!$C$4:$E$324,3,FALSE)</f>
        <v>0942</v>
      </c>
    </row>
    <row r="389" spans="1:33">
      <c r="A389" s="290"/>
      <c r="B389" s="288" t="str">
        <f t="shared" si="61"/>
        <v/>
      </c>
      <c r="C389" s="290"/>
      <c r="D389" s="288" t="str">
        <f t="shared" si="62"/>
        <v/>
      </c>
      <c r="E389" s="289"/>
      <c r="F389" s="288" t="str">
        <f t="shared" si="63"/>
        <v/>
      </c>
      <c r="G389" s="288" t="str">
        <f t="shared" si="64"/>
        <v/>
      </c>
      <c r="H389" s="128"/>
      <c r="I389" s="128"/>
      <c r="J389" s="128"/>
      <c r="K389" s="286"/>
      <c r="L389" s="287"/>
      <c r="M389" s="287"/>
      <c r="N389" s="286"/>
      <c r="O389" s="291"/>
      <c r="P389" s="285"/>
      <c r="R389" s="283" t="str">
        <f t="shared" si="65"/>
        <v/>
      </c>
      <c r="S389" s="283" t="str">
        <f t="shared" si="66"/>
        <v/>
      </c>
      <c r="T389" s="283" t="str">
        <f t="shared" si="67"/>
        <v/>
      </c>
      <c r="AD389" s="283" t="s">
        <v>1874</v>
      </c>
      <c r="AE389" s="283" t="s">
        <v>1873</v>
      </c>
      <c r="AF389" s="283" t="str">
        <f t="shared" si="68"/>
        <v>A679077</v>
      </c>
      <c r="AG389" s="283" t="str">
        <f>VLOOKUP(AF389,[2]AKT!$C$4:$E$324,3,FALSE)</f>
        <v>0942</v>
      </c>
    </row>
    <row r="390" spans="1:33">
      <c r="A390" s="290"/>
      <c r="B390" s="288" t="str">
        <f t="shared" si="61"/>
        <v/>
      </c>
      <c r="C390" s="290"/>
      <c r="D390" s="288" t="str">
        <f t="shared" si="62"/>
        <v/>
      </c>
      <c r="E390" s="289"/>
      <c r="F390" s="288" t="str">
        <f t="shared" si="63"/>
        <v/>
      </c>
      <c r="G390" s="288" t="str">
        <f t="shared" si="64"/>
        <v/>
      </c>
      <c r="H390" s="128"/>
      <c r="I390" s="128"/>
      <c r="J390" s="128"/>
      <c r="K390" s="286"/>
      <c r="L390" s="287"/>
      <c r="M390" s="287"/>
      <c r="N390" s="286"/>
      <c r="O390" s="291"/>
      <c r="P390" s="285"/>
      <c r="R390" s="283" t="str">
        <f t="shared" si="65"/>
        <v/>
      </c>
      <c r="S390" s="283" t="str">
        <f t="shared" si="66"/>
        <v/>
      </c>
      <c r="T390" s="283" t="str">
        <f t="shared" si="67"/>
        <v/>
      </c>
      <c r="AD390" s="283" t="s">
        <v>1872</v>
      </c>
      <c r="AE390" s="283" t="s">
        <v>1871</v>
      </c>
      <c r="AF390" s="283" t="str">
        <f t="shared" si="68"/>
        <v>A679077</v>
      </c>
      <c r="AG390" s="283" t="str">
        <f>VLOOKUP(AF390,[2]AKT!$C$4:$E$324,3,FALSE)</f>
        <v>0942</v>
      </c>
    </row>
    <row r="391" spans="1:33">
      <c r="A391" s="290"/>
      <c r="B391" s="288" t="str">
        <f t="shared" si="61"/>
        <v/>
      </c>
      <c r="C391" s="290"/>
      <c r="D391" s="288" t="str">
        <f t="shared" si="62"/>
        <v/>
      </c>
      <c r="E391" s="289"/>
      <c r="F391" s="288" t="str">
        <f t="shared" si="63"/>
        <v/>
      </c>
      <c r="G391" s="288" t="str">
        <f t="shared" si="64"/>
        <v/>
      </c>
      <c r="H391" s="128"/>
      <c r="I391" s="128"/>
      <c r="J391" s="128"/>
      <c r="K391" s="286"/>
      <c r="L391" s="287"/>
      <c r="M391" s="287"/>
      <c r="N391" s="286"/>
      <c r="O391" s="291"/>
      <c r="P391" s="285"/>
      <c r="R391" s="283" t="str">
        <f t="shared" si="65"/>
        <v/>
      </c>
      <c r="S391" s="283" t="str">
        <f t="shared" si="66"/>
        <v/>
      </c>
      <c r="T391" s="283" t="str">
        <f t="shared" si="67"/>
        <v/>
      </c>
      <c r="AD391" s="283" t="s">
        <v>1870</v>
      </c>
      <c r="AE391" s="283" t="s">
        <v>1869</v>
      </c>
      <c r="AF391" s="283" t="str">
        <f t="shared" si="68"/>
        <v>A679077</v>
      </c>
      <c r="AG391" s="283" t="str">
        <f>VLOOKUP(AF391,[2]AKT!$C$4:$E$324,3,FALSE)</f>
        <v>0942</v>
      </c>
    </row>
    <row r="392" spans="1:33">
      <c r="A392" s="290"/>
      <c r="B392" s="288" t="str">
        <f t="shared" si="61"/>
        <v/>
      </c>
      <c r="C392" s="290"/>
      <c r="D392" s="288" t="str">
        <f t="shared" si="62"/>
        <v/>
      </c>
      <c r="E392" s="289"/>
      <c r="F392" s="288" t="str">
        <f t="shared" si="63"/>
        <v/>
      </c>
      <c r="G392" s="288" t="str">
        <f t="shared" si="64"/>
        <v/>
      </c>
      <c r="H392" s="128"/>
      <c r="I392" s="128"/>
      <c r="J392" s="128"/>
      <c r="K392" s="286"/>
      <c r="L392" s="287"/>
      <c r="M392" s="287"/>
      <c r="N392" s="286"/>
      <c r="O392" s="291"/>
      <c r="P392" s="285"/>
      <c r="R392" s="283" t="str">
        <f t="shared" si="65"/>
        <v/>
      </c>
      <c r="S392" s="283" t="str">
        <f t="shared" si="66"/>
        <v/>
      </c>
      <c r="T392" s="283" t="str">
        <f t="shared" si="67"/>
        <v/>
      </c>
      <c r="AD392" s="283" t="s">
        <v>1868</v>
      </c>
      <c r="AE392" s="283" t="s">
        <v>1867</v>
      </c>
      <c r="AF392" s="283" t="str">
        <f t="shared" si="68"/>
        <v>A679077</v>
      </c>
      <c r="AG392" s="283" t="str">
        <f>VLOOKUP(AF392,[2]AKT!$C$4:$E$324,3,FALSE)</f>
        <v>0942</v>
      </c>
    </row>
    <row r="393" spans="1:33">
      <c r="A393" s="290"/>
      <c r="B393" s="288" t="str">
        <f t="shared" si="61"/>
        <v/>
      </c>
      <c r="C393" s="290"/>
      <c r="D393" s="288" t="str">
        <f t="shared" si="62"/>
        <v/>
      </c>
      <c r="E393" s="289"/>
      <c r="F393" s="288" t="str">
        <f t="shared" si="63"/>
        <v/>
      </c>
      <c r="G393" s="288" t="str">
        <f t="shared" si="64"/>
        <v/>
      </c>
      <c r="H393" s="128"/>
      <c r="I393" s="128"/>
      <c r="J393" s="128"/>
      <c r="K393" s="286"/>
      <c r="L393" s="287"/>
      <c r="M393" s="287"/>
      <c r="N393" s="286"/>
      <c r="O393" s="291"/>
      <c r="P393" s="285"/>
      <c r="R393" s="283" t="str">
        <f t="shared" si="65"/>
        <v/>
      </c>
      <c r="S393" s="283" t="str">
        <f t="shared" si="66"/>
        <v/>
      </c>
      <c r="T393" s="283" t="str">
        <f t="shared" si="67"/>
        <v/>
      </c>
      <c r="AD393" s="283" t="s">
        <v>1866</v>
      </c>
      <c r="AE393" s="283" t="s">
        <v>1865</v>
      </c>
      <c r="AF393" s="283" t="str">
        <f t="shared" si="68"/>
        <v>A679077</v>
      </c>
      <c r="AG393" s="283" t="str">
        <f>VLOOKUP(AF393,[2]AKT!$C$4:$E$324,3,FALSE)</f>
        <v>0942</v>
      </c>
    </row>
    <row r="394" spans="1:33">
      <c r="A394" s="290"/>
      <c r="B394" s="288" t="str">
        <f t="shared" ref="B394:B457" si="69">IFERROR(VLOOKUP(A394,$U$6:$V$31,2,FALSE),"")</f>
        <v/>
      </c>
      <c r="C394" s="290"/>
      <c r="D394" s="288" t="str">
        <f t="shared" ref="D394:D457" si="70">IFERROR(VLOOKUP(C394,$X$5:$Z$144,2,FALSE),"")</f>
        <v/>
      </c>
      <c r="E394" s="289"/>
      <c r="F394" s="288" t="str">
        <f t="shared" ref="F394:F457" si="71">IFERROR(VLOOKUP(E394,$AD$6:$AE$1105,2,FALSE),"")</f>
        <v/>
      </c>
      <c r="G394" s="288" t="str">
        <f t="shared" ref="G394:G457" si="72">IFERROR(VLOOKUP(E394,$AD$6:$AG$1105,4,FALSE),"")</f>
        <v/>
      </c>
      <c r="H394" s="128"/>
      <c r="I394" s="128"/>
      <c r="J394" s="128"/>
      <c r="K394" s="286"/>
      <c r="L394" s="287"/>
      <c r="M394" s="287"/>
      <c r="N394" s="286"/>
      <c r="O394" s="291"/>
      <c r="P394" s="285"/>
      <c r="R394" s="283" t="str">
        <f t="shared" si="65"/>
        <v/>
      </c>
      <c r="S394" s="283" t="str">
        <f t="shared" si="66"/>
        <v/>
      </c>
      <c r="T394" s="283" t="str">
        <f t="shared" si="67"/>
        <v/>
      </c>
      <c r="AD394" s="283" t="s">
        <v>1864</v>
      </c>
      <c r="AE394" s="283" t="s">
        <v>764</v>
      </c>
      <c r="AF394" s="283" t="str">
        <f t="shared" si="68"/>
        <v>A679077</v>
      </c>
      <c r="AG394" s="283" t="str">
        <f>VLOOKUP(AF394,[2]AKT!$C$4:$E$324,3,FALSE)</f>
        <v>0942</v>
      </c>
    </row>
    <row r="395" spans="1:33">
      <c r="A395" s="290"/>
      <c r="B395" s="288" t="str">
        <f t="shared" si="69"/>
        <v/>
      </c>
      <c r="C395" s="290"/>
      <c r="D395" s="288" t="str">
        <f t="shared" si="70"/>
        <v/>
      </c>
      <c r="E395" s="289"/>
      <c r="F395" s="288" t="str">
        <f t="shared" si="71"/>
        <v/>
      </c>
      <c r="G395" s="288" t="str">
        <f t="shared" si="72"/>
        <v/>
      </c>
      <c r="H395" s="128"/>
      <c r="I395" s="128"/>
      <c r="J395" s="128"/>
      <c r="K395" s="286"/>
      <c r="L395" s="287"/>
      <c r="M395" s="287"/>
      <c r="N395" s="286"/>
      <c r="O395" s="291"/>
      <c r="P395" s="285"/>
      <c r="R395" s="283" t="str">
        <f t="shared" si="65"/>
        <v/>
      </c>
      <c r="S395" s="283" t="str">
        <f t="shared" si="66"/>
        <v/>
      </c>
      <c r="T395" s="283" t="str">
        <f t="shared" si="67"/>
        <v/>
      </c>
      <c r="AD395" s="283" t="s">
        <v>1863</v>
      </c>
      <c r="AE395" s="283" t="s">
        <v>1862</v>
      </c>
      <c r="AF395" s="283" t="str">
        <f t="shared" si="68"/>
        <v>A679077</v>
      </c>
      <c r="AG395" s="283" t="str">
        <f>VLOOKUP(AF395,[2]AKT!$C$4:$E$324,3,FALSE)</f>
        <v>0942</v>
      </c>
    </row>
    <row r="396" spans="1:33">
      <c r="A396" s="290"/>
      <c r="B396" s="288" t="str">
        <f t="shared" si="69"/>
        <v/>
      </c>
      <c r="C396" s="290"/>
      <c r="D396" s="288" t="str">
        <f t="shared" si="70"/>
        <v/>
      </c>
      <c r="E396" s="289"/>
      <c r="F396" s="288" t="str">
        <f t="shared" si="71"/>
        <v/>
      </c>
      <c r="G396" s="288" t="str">
        <f t="shared" si="72"/>
        <v/>
      </c>
      <c r="H396" s="128"/>
      <c r="I396" s="128"/>
      <c r="J396" s="128"/>
      <c r="K396" s="286"/>
      <c r="L396" s="287"/>
      <c r="M396" s="287"/>
      <c r="N396" s="286"/>
      <c r="O396" s="291"/>
      <c r="P396" s="285"/>
      <c r="R396" s="283" t="str">
        <f t="shared" si="65"/>
        <v/>
      </c>
      <c r="S396" s="283" t="str">
        <f t="shared" si="66"/>
        <v/>
      </c>
      <c r="T396" s="283" t="str">
        <f t="shared" si="67"/>
        <v/>
      </c>
      <c r="AD396" s="283" t="s">
        <v>1861</v>
      </c>
      <c r="AE396" s="283" t="s">
        <v>1860</v>
      </c>
      <c r="AF396" s="283" t="str">
        <f t="shared" si="68"/>
        <v>A679077</v>
      </c>
      <c r="AG396" s="283" t="str">
        <f>VLOOKUP(AF396,[2]AKT!$C$4:$E$324,3,FALSE)</f>
        <v>0942</v>
      </c>
    </row>
    <row r="397" spans="1:33">
      <c r="A397" s="290"/>
      <c r="B397" s="288" t="str">
        <f t="shared" si="69"/>
        <v/>
      </c>
      <c r="C397" s="290"/>
      <c r="D397" s="288" t="str">
        <f t="shared" si="70"/>
        <v/>
      </c>
      <c r="E397" s="289"/>
      <c r="F397" s="288" t="str">
        <f t="shared" si="71"/>
        <v/>
      </c>
      <c r="G397" s="288" t="str">
        <f t="shared" si="72"/>
        <v/>
      </c>
      <c r="H397" s="128"/>
      <c r="I397" s="128"/>
      <c r="J397" s="128"/>
      <c r="K397" s="286"/>
      <c r="L397" s="287"/>
      <c r="M397" s="287"/>
      <c r="N397" s="286"/>
      <c r="O397" s="291"/>
      <c r="P397" s="285"/>
      <c r="R397" s="283" t="str">
        <f t="shared" si="65"/>
        <v/>
      </c>
      <c r="S397" s="283" t="str">
        <f t="shared" si="66"/>
        <v/>
      </c>
      <c r="T397" s="283" t="str">
        <f t="shared" si="67"/>
        <v/>
      </c>
      <c r="AD397" s="283" t="s">
        <v>1859</v>
      </c>
      <c r="AE397" s="283" t="s">
        <v>1858</v>
      </c>
      <c r="AF397" s="283" t="str">
        <f t="shared" si="68"/>
        <v>A679077</v>
      </c>
      <c r="AG397" s="283" t="str">
        <f>VLOOKUP(AF397,[2]AKT!$C$4:$E$324,3,FALSE)</f>
        <v>0942</v>
      </c>
    </row>
    <row r="398" spans="1:33">
      <c r="A398" s="290"/>
      <c r="B398" s="288" t="str">
        <f t="shared" si="69"/>
        <v/>
      </c>
      <c r="C398" s="290"/>
      <c r="D398" s="288" t="str">
        <f t="shared" si="70"/>
        <v/>
      </c>
      <c r="E398" s="289"/>
      <c r="F398" s="288" t="str">
        <f t="shared" si="71"/>
        <v/>
      </c>
      <c r="G398" s="288" t="str">
        <f t="shared" si="72"/>
        <v/>
      </c>
      <c r="H398" s="128"/>
      <c r="I398" s="128"/>
      <c r="J398" s="128"/>
      <c r="K398" s="286"/>
      <c r="L398" s="287"/>
      <c r="M398" s="287"/>
      <c r="N398" s="286"/>
      <c r="O398" s="291"/>
      <c r="P398" s="285"/>
      <c r="R398" s="283" t="str">
        <f t="shared" si="65"/>
        <v/>
      </c>
      <c r="S398" s="283" t="str">
        <f t="shared" si="66"/>
        <v/>
      </c>
      <c r="T398" s="283" t="str">
        <f t="shared" si="67"/>
        <v/>
      </c>
      <c r="AD398" s="283" t="s">
        <v>1857</v>
      </c>
      <c r="AE398" s="283" t="s">
        <v>1856</v>
      </c>
      <c r="AF398" s="283" t="str">
        <f t="shared" si="68"/>
        <v>A679077</v>
      </c>
      <c r="AG398" s="283" t="str">
        <f>VLOOKUP(AF398,[2]AKT!$C$4:$E$324,3,FALSE)</f>
        <v>0942</v>
      </c>
    </row>
    <row r="399" spans="1:33">
      <c r="A399" s="290"/>
      <c r="B399" s="288" t="str">
        <f t="shared" si="69"/>
        <v/>
      </c>
      <c r="C399" s="290"/>
      <c r="D399" s="288" t="str">
        <f t="shared" si="70"/>
        <v/>
      </c>
      <c r="E399" s="289"/>
      <c r="F399" s="288" t="str">
        <f t="shared" si="71"/>
        <v/>
      </c>
      <c r="G399" s="288" t="str">
        <f t="shared" si="72"/>
        <v/>
      </c>
      <c r="H399" s="128"/>
      <c r="I399" s="128"/>
      <c r="J399" s="128"/>
      <c r="K399" s="286"/>
      <c r="L399" s="287"/>
      <c r="M399" s="287"/>
      <c r="N399" s="286"/>
      <c r="O399" s="291"/>
      <c r="P399" s="285"/>
      <c r="R399" s="283" t="str">
        <f t="shared" si="65"/>
        <v/>
      </c>
      <c r="S399" s="283" t="str">
        <f t="shared" si="66"/>
        <v/>
      </c>
      <c r="T399" s="283" t="str">
        <f t="shared" si="67"/>
        <v/>
      </c>
      <c r="AD399" s="283" t="s">
        <v>1855</v>
      </c>
      <c r="AE399" s="283" t="s">
        <v>1854</v>
      </c>
      <c r="AF399" s="283" t="str">
        <f t="shared" si="68"/>
        <v>A679077</v>
      </c>
      <c r="AG399" s="283" t="str">
        <f>VLOOKUP(AF399,[2]AKT!$C$4:$E$324,3,FALSE)</f>
        <v>0942</v>
      </c>
    </row>
    <row r="400" spans="1:33">
      <c r="A400" s="290"/>
      <c r="B400" s="288" t="str">
        <f t="shared" si="69"/>
        <v/>
      </c>
      <c r="C400" s="290"/>
      <c r="D400" s="288" t="str">
        <f t="shared" si="70"/>
        <v/>
      </c>
      <c r="E400" s="289"/>
      <c r="F400" s="288" t="str">
        <f t="shared" si="71"/>
        <v/>
      </c>
      <c r="G400" s="288" t="str">
        <f t="shared" si="72"/>
        <v/>
      </c>
      <c r="H400" s="128"/>
      <c r="I400" s="128"/>
      <c r="J400" s="128"/>
      <c r="K400" s="286"/>
      <c r="L400" s="287"/>
      <c r="M400" s="287"/>
      <c r="N400" s="286"/>
      <c r="O400" s="291"/>
      <c r="P400" s="285"/>
      <c r="R400" s="283" t="str">
        <f t="shared" si="65"/>
        <v/>
      </c>
      <c r="S400" s="283" t="str">
        <f t="shared" si="66"/>
        <v/>
      </c>
      <c r="T400" s="283" t="str">
        <f t="shared" si="67"/>
        <v/>
      </c>
      <c r="AD400" s="283" t="s">
        <v>1853</v>
      </c>
      <c r="AE400" s="283" t="s">
        <v>1852</v>
      </c>
      <c r="AF400" s="283" t="str">
        <f t="shared" si="68"/>
        <v>A679077</v>
      </c>
      <c r="AG400" s="283" t="str">
        <f>VLOOKUP(AF400,[2]AKT!$C$4:$E$324,3,FALSE)</f>
        <v>0942</v>
      </c>
    </row>
    <row r="401" spans="1:33">
      <c r="A401" s="290"/>
      <c r="B401" s="288" t="str">
        <f t="shared" si="69"/>
        <v/>
      </c>
      <c r="C401" s="290"/>
      <c r="D401" s="288" t="str">
        <f t="shared" si="70"/>
        <v/>
      </c>
      <c r="E401" s="289"/>
      <c r="F401" s="288" t="str">
        <f t="shared" si="71"/>
        <v/>
      </c>
      <c r="G401" s="288" t="str">
        <f t="shared" si="72"/>
        <v/>
      </c>
      <c r="H401" s="128"/>
      <c r="I401" s="128"/>
      <c r="J401" s="128"/>
      <c r="K401" s="286"/>
      <c r="L401" s="287"/>
      <c r="M401" s="287"/>
      <c r="N401" s="286"/>
      <c r="O401" s="291"/>
      <c r="P401" s="285"/>
      <c r="R401" s="283" t="str">
        <f t="shared" si="65"/>
        <v/>
      </c>
      <c r="S401" s="283" t="str">
        <f t="shared" si="66"/>
        <v/>
      </c>
      <c r="T401" s="283" t="str">
        <f t="shared" si="67"/>
        <v/>
      </c>
      <c r="AD401" s="283" t="s">
        <v>1851</v>
      </c>
      <c r="AE401" s="283" t="s">
        <v>1850</v>
      </c>
      <c r="AF401" s="283" t="str">
        <f t="shared" si="68"/>
        <v>A679077</v>
      </c>
      <c r="AG401" s="283" t="str">
        <f>VLOOKUP(AF401,[2]AKT!$C$4:$E$324,3,FALSE)</f>
        <v>0942</v>
      </c>
    </row>
    <row r="402" spans="1:33">
      <c r="A402" s="290"/>
      <c r="B402" s="288" t="str">
        <f t="shared" si="69"/>
        <v/>
      </c>
      <c r="C402" s="290"/>
      <c r="D402" s="288" t="str">
        <f t="shared" si="70"/>
        <v/>
      </c>
      <c r="E402" s="289"/>
      <c r="F402" s="288" t="str">
        <f t="shared" si="71"/>
        <v/>
      </c>
      <c r="G402" s="288" t="str">
        <f t="shared" si="72"/>
        <v/>
      </c>
      <c r="H402" s="128"/>
      <c r="I402" s="128"/>
      <c r="J402" s="128"/>
      <c r="K402" s="286"/>
      <c r="L402" s="287"/>
      <c r="M402" s="287"/>
      <c r="N402" s="286"/>
      <c r="O402" s="291"/>
      <c r="P402" s="285"/>
      <c r="R402" s="283" t="str">
        <f t="shared" si="65"/>
        <v/>
      </c>
      <c r="S402" s="283" t="str">
        <f t="shared" si="66"/>
        <v/>
      </c>
      <c r="T402" s="283" t="str">
        <f t="shared" si="67"/>
        <v/>
      </c>
      <c r="AD402" s="283" t="s">
        <v>1849</v>
      </c>
      <c r="AE402" s="283" t="s">
        <v>1848</v>
      </c>
      <c r="AF402" s="283" t="str">
        <f t="shared" si="68"/>
        <v>A679077</v>
      </c>
      <c r="AG402" s="283" t="str">
        <f>VLOOKUP(AF402,[2]AKT!$C$4:$E$324,3,FALSE)</f>
        <v>0942</v>
      </c>
    </row>
    <row r="403" spans="1:33">
      <c r="A403" s="290"/>
      <c r="B403" s="288" t="str">
        <f t="shared" si="69"/>
        <v/>
      </c>
      <c r="C403" s="290"/>
      <c r="D403" s="288" t="str">
        <f t="shared" si="70"/>
        <v/>
      </c>
      <c r="E403" s="289"/>
      <c r="F403" s="288" t="str">
        <f t="shared" si="71"/>
        <v/>
      </c>
      <c r="G403" s="288" t="str">
        <f t="shared" si="72"/>
        <v/>
      </c>
      <c r="H403" s="128"/>
      <c r="I403" s="128"/>
      <c r="J403" s="128"/>
      <c r="K403" s="286"/>
      <c r="L403" s="287"/>
      <c r="M403" s="287"/>
      <c r="N403" s="286"/>
      <c r="O403" s="291"/>
      <c r="P403" s="285"/>
      <c r="R403" s="283" t="str">
        <f t="shared" si="65"/>
        <v/>
      </c>
      <c r="S403" s="283" t="str">
        <f t="shared" si="66"/>
        <v/>
      </c>
      <c r="T403" s="283" t="str">
        <f t="shared" si="67"/>
        <v/>
      </c>
      <c r="AD403" s="283" t="s">
        <v>1847</v>
      </c>
      <c r="AE403" s="283" t="s">
        <v>1846</v>
      </c>
      <c r="AF403" s="283" t="str">
        <f t="shared" si="68"/>
        <v>A679077</v>
      </c>
      <c r="AG403" s="283" t="str">
        <f>VLOOKUP(AF403,[2]AKT!$C$4:$E$324,3,FALSE)</f>
        <v>0942</v>
      </c>
    </row>
    <row r="404" spans="1:33">
      <c r="A404" s="290"/>
      <c r="B404" s="288" t="str">
        <f t="shared" si="69"/>
        <v/>
      </c>
      <c r="C404" s="290"/>
      <c r="D404" s="288" t="str">
        <f t="shared" si="70"/>
        <v/>
      </c>
      <c r="E404" s="289"/>
      <c r="F404" s="288" t="str">
        <f t="shared" si="71"/>
        <v/>
      </c>
      <c r="G404" s="288" t="str">
        <f t="shared" si="72"/>
        <v/>
      </c>
      <c r="H404" s="128"/>
      <c r="I404" s="128"/>
      <c r="J404" s="128"/>
      <c r="K404" s="286"/>
      <c r="L404" s="287"/>
      <c r="M404" s="287"/>
      <c r="N404" s="286"/>
      <c r="O404" s="291"/>
      <c r="P404" s="285"/>
      <c r="R404" s="283" t="str">
        <f t="shared" si="65"/>
        <v/>
      </c>
      <c r="S404" s="283" t="str">
        <f t="shared" si="66"/>
        <v/>
      </c>
      <c r="T404" s="283" t="str">
        <f t="shared" si="67"/>
        <v/>
      </c>
      <c r="AD404" s="283" t="s">
        <v>1845</v>
      </c>
      <c r="AE404" s="283" t="s">
        <v>1844</v>
      </c>
      <c r="AF404" s="283" t="str">
        <f t="shared" si="68"/>
        <v>A679077</v>
      </c>
      <c r="AG404" s="283" t="str">
        <f>VLOOKUP(AF404,[2]AKT!$C$4:$E$324,3,FALSE)</f>
        <v>0942</v>
      </c>
    </row>
    <row r="405" spans="1:33">
      <c r="A405" s="290"/>
      <c r="B405" s="288" t="str">
        <f t="shared" si="69"/>
        <v/>
      </c>
      <c r="C405" s="290"/>
      <c r="D405" s="288" t="str">
        <f t="shared" si="70"/>
        <v/>
      </c>
      <c r="E405" s="289"/>
      <c r="F405" s="288" t="str">
        <f t="shared" si="71"/>
        <v/>
      </c>
      <c r="G405" s="288" t="str">
        <f t="shared" si="72"/>
        <v/>
      </c>
      <c r="H405" s="128"/>
      <c r="I405" s="128"/>
      <c r="J405" s="128"/>
      <c r="K405" s="286"/>
      <c r="L405" s="287"/>
      <c r="M405" s="287"/>
      <c r="N405" s="286"/>
      <c r="O405" s="291"/>
      <c r="P405" s="285"/>
      <c r="R405" s="283" t="str">
        <f t="shared" si="65"/>
        <v/>
      </c>
      <c r="S405" s="283" t="str">
        <f t="shared" si="66"/>
        <v/>
      </c>
      <c r="T405" s="283" t="str">
        <f t="shared" si="67"/>
        <v/>
      </c>
      <c r="AD405" s="283" t="s">
        <v>1843</v>
      </c>
      <c r="AE405" s="283" t="s">
        <v>1842</v>
      </c>
      <c r="AF405" s="283" t="str">
        <f t="shared" si="68"/>
        <v>A679077</v>
      </c>
      <c r="AG405" s="283" t="str">
        <f>VLOOKUP(AF405,[2]AKT!$C$4:$E$324,3,FALSE)</f>
        <v>0942</v>
      </c>
    </row>
    <row r="406" spans="1:33">
      <c r="A406" s="290"/>
      <c r="B406" s="288" t="str">
        <f t="shared" si="69"/>
        <v/>
      </c>
      <c r="C406" s="290"/>
      <c r="D406" s="288" t="str">
        <f t="shared" si="70"/>
        <v/>
      </c>
      <c r="E406" s="289"/>
      <c r="F406" s="288" t="str">
        <f t="shared" si="71"/>
        <v/>
      </c>
      <c r="G406" s="288" t="str">
        <f t="shared" si="72"/>
        <v/>
      </c>
      <c r="H406" s="128"/>
      <c r="I406" s="128"/>
      <c r="J406" s="128"/>
      <c r="K406" s="286"/>
      <c r="L406" s="287"/>
      <c r="M406" s="287"/>
      <c r="N406" s="286"/>
      <c r="O406" s="291"/>
      <c r="P406" s="285"/>
      <c r="R406" s="283" t="str">
        <f t="shared" si="65"/>
        <v/>
      </c>
      <c r="S406" s="283" t="str">
        <f t="shared" si="66"/>
        <v/>
      </c>
      <c r="T406" s="283" t="str">
        <f t="shared" si="67"/>
        <v/>
      </c>
      <c r="AD406" s="283" t="s">
        <v>1841</v>
      </c>
      <c r="AE406" s="283" t="s">
        <v>1840</v>
      </c>
      <c r="AF406" s="283" t="str">
        <f t="shared" si="68"/>
        <v>A679077</v>
      </c>
      <c r="AG406" s="283" t="str">
        <f>VLOOKUP(AF406,[2]AKT!$C$4:$E$324,3,FALSE)</f>
        <v>0942</v>
      </c>
    </row>
    <row r="407" spans="1:33">
      <c r="A407" s="290"/>
      <c r="B407" s="288" t="str">
        <f t="shared" si="69"/>
        <v/>
      </c>
      <c r="C407" s="290"/>
      <c r="D407" s="288" t="str">
        <f t="shared" si="70"/>
        <v/>
      </c>
      <c r="E407" s="289"/>
      <c r="F407" s="288" t="str">
        <f t="shared" si="71"/>
        <v/>
      </c>
      <c r="G407" s="288" t="str">
        <f t="shared" si="72"/>
        <v/>
      </c>
      <c r="H407" s="128"/>
      <c r="I407" s="128"/>
      <c r="J407" s="128"/>
      <c r="K407" s="286"/>
      <c r="L407" s="287"/>
      <c r="M407" s="287"/>
      <c r="N407" s="286"/>
      <c r="O407" s="291"/>
      <c r="P407" s="285"/>
      <c r="R407" s="283" t="str">
        <f t="shared" si="65"/>
        <v/>
      </c>
      <c r="S407" s="283" t="str">
        <f t="shared" si="66"/>
        <v/>
      </c>
      <c r="T407" s="283" t="str">
        <f t="shared" si="67"/>
        <v/>
      </c>
      <c r="AD407" s="283" t="s">
        <v>1839</v>
      </c>
      <c r="AE407" s="283" t="s">
        <v>1838</v>
      </c>
      <c r="AF407" s="283" t="str">
        <f t="shared" si="68"/>
        <v>A679077</v>
      </c>
      <c r="AG407" s="283" t="str">
        <f>VLOOKUP(AF407,[2]AKT!$C$4:$E$324,3,FALSE)</f>
        <v>0942</v>
      </c>
    </row>
    <row r="408" spans="1:33">
      <c r="A408" s="290"/>
      <c r="B408" s="288" t="str">
        <f t="shared" si="69"/>
        <v/>
      </c>
      <c r="C408" s="290"/>
      <c r="D408" s="288" t="str">
        <f t="shared" si="70"/>
        <v/>
      </c>
      <c r="E408" s="289"/>
      <c r="F408" s="288" t="str">
        <f t="shared" si="71"/>
        <v/>
      </c>
      <c r="G408" s="288" t="str">
        <f t="shared" si="72"/>
        <v/>
      </c>
      <c r="H408" s="128"/>
      <c r="I408" s="128"/>
      <c r="J408" s="128"/>
      <c r="K408" s="286"/>
      <c r="L408" s="287"/>
      <c r="M408" s="287"/>
      <c r="N408" s="286"/>
      <c r="O408" s="291"/>
      <c r="P408" s="285"/>
      <c r="R408" s="283" t="str">
        <f t="shared" si="65"/>
        <v/>
      </c>
      <c r="S408" s="283" t="str">
        <f t="shared" si="66"/>
        <v/>
      </c>
      <c r="T408" s="283" t="str">
        <f t="shared" si="67"/>
        <v/>
      </c>
      <c r="AD408" s="283" t="s">
        <v>1837</v>
      </c>
      <c r="AE408" s="283" t="s">
        <v>1836</v>
      </c>
      <c r="AF408" s="283" t="str">
        <f t="shared" si="68"/>
        <v>A679077</v>
      </c>
      <c r="AG408" s="283" t="str">
        <f>VLOOKUP(AF408,[2]AKT!$C$4:$E$324,3,FALSE)</f>
        <v>0942</v>
      </c>
    </row>
    <row r="409" spans="1:33">
      <c r="A409" s="290"/>
      <c r="B409" s="288" t="str">
        <f t="shared" si="69"/>
        <v/>
      </c>
      <c r="C409" s="290"/>
      <c r="D409" s="288" t="str">
        <f t="shared" si="70"/>
        <v/>
      </c>
      <c r="E409" s="289"/>
      <c r="F409" s="288" t="str">
        <f t="shared" si="71"/>
        <v/>
      </c>
      <c r="G409" s="288" t="str">
        <f t="shared" si="72"/>
        <v/>
      </c>
      <c r="H409" s="128"/>
      <c r="I409" s="128"/>
      <c r="J409" s="128"/>
      <c r="K409" s="286"/>
      <c r="L409" s="287"/>
      <c r="M409" s="287"/>
      <c r="N409" s="286"/>
      <c r="O409" s="291"/>
      <c r="P409" s="285"/>
      <c r="R409" s="283" t="str">
        <f t="shared" si="65"/>
        <v/>
      </c>
      <c r="S409" s="283" t="str">
        <f t="shared" si="66"/>
        <v/>
      </c>
      <c r="T409" s="283" t="str">
        <f t="shared" si="67"/>
        <v/>
      </c>
      <c r="AD409" s="283" t="s">
        <v>1835</v>
      </c>
      <c r="AE409" s="283" t="s">
        <v>1834</v>
      </c>
      <c r="AF409" s="283" t="str">
        <f t="shared" si="68"/>
        <v>A679077</v>
      </c>
      <c r="AG409" s="283" t="str">
        <f>VLOOKUP(AF409,[2]AKT!$C$4:$E$324,3,FALSE)</f>
        <v>0942</v>
      </c>
    </row>
    <row r="410" spans="1:33">
      <c r="A410" s="290"/>
      <c r="B410" s="288" t="str">
        <f t="shared" si="69"/>
        <v/>
      </c>
      <c r="C410" s="290"/>
      <c r="D410" s="288" t="str">
        <f t="shared" si="70"/>
        <v/>
      </c>
      <c r="E410" s="289"/>
      <c r="F410" s="288" t="str">
        <f t="shared" si="71"/>
        <v/>
      </c>
      <c r="G410" s="288" t="str">
        <f t="shared" si="72"/>
        <v/>
      </c>
      <c r="H410" s="128"/>
      <c r="I410" s="128"/>
      <c r="J410" s="128"/>
      <c r="K410" s="286"/>
      <c r="L410" s="287"/>
      <c r="M410" s="287"/>
      <c r="N410" s="286"/>
      <c r="O410" s="291"/>
      <c r="P410" s="285"/>
      <c r="R410" s="283" t="str">
        <f t="shared" si="65"/>
        <v/>
      </c>
      <c r="S410" s="283" t="str">
        <f t="shared" si="66"/>
        <v/>
      </c>
      <c r="T410" s="283" t="str">
        <f t="shared" si="67"/>
        <v/>
      </c>
      <c r="AD410" s="283" t="s">
        <v>1833</v>
      </c>
      <c r="AE410" s="283" t="s">
        <v>1832</v>
      </c>
      <c r="AF410" s="283" t="str">
        <f t="shared" si="68"/>
        <v>A679077</v>
      </c>
      <c r="AG410" s="283" t="str">
        <f>VLOOKUP(AF410,[2]AKT!$C$4:$E$324,3,FALSE)</f>
        <v>0942</v>
      </c>
    </row>
    <row r="411" spans="1:33">
      <c r="A411" s="290"/>
      <c r="B411" s="288" t="str">
        <f t="shared" si="69"/>
        <v/>
      </c>
      <c r="C411" s="290"/>
      <c r="D411" s="288" t="str">
        <f t="shared" si="70"/>
        <v/>
      </c>
      <c r="E411" s="289"/>
      <c r="F411" s="288" t="str">
        <f t="shared" si="71"/>
        <v/>
      </c>
      <c r="G411" s="288" t="str">
        <f t="shared" si="72"/>
        <v/>
      </c>
      <c r="H411" s="128"/>
      <c r="I411" s="128"/>
      <c r="J411" s="128"/>
      <c r="K411" s="286"/>
      <c r="L411" s="287"/>
      <c r="M411" s="287"/>
      <c r="N411" s="286"/>
      <c r="O411" s="291"/>
      <c r="P411" s="285"/>
      <c r="R411" s="283" t="str">
        <f t="shared" si="65"/>
        <v/>
      </c>
      <c r="S411" s="283" t="str">
        <f t="shared" si="66"/>
        <v/>
      </c>
      <c r="T411" s="283" t="str">
        <f t="shared" si="67"/>
        <v/>
      </c>
      <c r="AD411" s="283" t="s">
        <v>1831</v>
      </c>
      <c r="AE411" s="283" t="s">
        <v>1830</v>
      </c>
      <c r="AF411" s="283" t="str">
        <f t="shared" si="68"/>
        <v>A679077</v>
      </c>
      <c r="AG411" s="283" t="str">
        <f>VLOOKUP(AF411,[2]AKT!$C$4:$E$324,3,FALSE)</f>
        <v>0942</v>
      </c>
    </row>
    <row r="412" spans="1:33">
      <c r="A412" s="290"/>
      <c r="B412" s="288" t="str">
        <f t="shared" si="69"/>
        <v/>
      </c>
      <c r="C412" s="290"/>
      <c r="D412" s="288" t="str">
        <f t="shared" si="70"/>
        <v/>
      </c>
      <c r="E412" s="289"/>
      <c r="F412" s="288" t="str">
        <f t="shared" si="71"/>
        <v/>
      </c>
      <c r="G412" s="288" t="str">
        <f t="shared" si="72"/>
        <v/>
      </c>
      <c r="H412" s="128"/>
      <c r="I412" s="128"/>
      <c r="J412" s="128"/>
      <c r="K412" s="286"/>
      <c r="L412" s="287"/>
      <c r="M412" s="287"/>
      <c r="N412" s="286"/>
      <c r="O412" s="291"/>
      <c r="P412" s="285"/>
      <c r="R412" s="283" t="str">
        <f t="shared" si="65"/>
        <v/>
      </c>
      <c r="S412" s="283" t="str">
        <f t="shared" si="66"/>
        <v/>
      </c>
      <c r="T412" s="283" t="str">
        <f t="shared" si="67"/>
        <v/>
      </c>
      <c r="AD412" s="283" t="s">
        <v>1829</v>
      </c>
      <c r="AE412" s="283" t="s">
        <v>1828</v>
      </c>
      <c r="AF412" s="283" t="str">
        <f t="shared" si="68"/>
        <v>A679077</v>
      </c>
      <c r="AG412" s="283" t="str">
        <f>VLOOKUP(AF412,[2]AKT!$C$4:$E$324,3,FALSE)</f>
        <v>0942</v>
      </c>
    </row>
    <row r="413" spans="1:33">
      <c r="A413" s="290"/>
      <c r="B413" s="288" t="str">
        <f t="shared" si="69"/>
        <v/>
      </c>
      <c r="C413" s="290"/>
      <c r="D413" s="288" t="str">
        <f t="shared" si="70"/>
        <v/>
      </c>
      <c r="E413" s="289"/>
      <c r="F413" s="288" t="str">
        <f t="shared" si="71"/>
        <v/>
      </c>
      <c r="G413" s="288" t="str">
        <f t="shared" si="72"/>
        <v/>
      </c>
      <c r="H413" s="128"/>
      <c r="I413" s="128"/>
      <c r="J413" s="128"/>
      <c r="K413" s="286"/>
      <c r="L413" s="287"/>
      <c r="M413" s="287"/>
      <c r="N413" s="286"/>
      <c r="O413" s="291"/>
      <c r="P413" s="285"/>
      <c r="R413" s="283" t="str">
        <f t="shared" si="65"/>
        <v/>
      </c>
      <c r="S413" s="283" t="str">
        <f t="shared" si="66"/>
        <v/>
      </c>
      <c r="T413" s="283" t="str">
        <f t="shared" si="67"/>
        <v/>
      </c>
      <c r="AD413" s="283" t="s">
        <v>1827</v>
      </c>
      <c r="AE413" s="283" t="s">
        <v>1826</v>
      </c>
      <c r="AF413" s="283" t="str">
        <f t="shared" si="68"/>
        <v>A679077</v>
      </c>
      <c r="AG413" s="283" t="str">
        <f>VLOOKUP(AF413,[2]AKT!$C$4:$E$324,3,FALSE)</f>
        <v>0942</v>
      </c>
    </row>
    <row r="414" spans="1:33">
      <c r="A414" s="290"/>
      <c r="B414" s="288" t="str">
        <f t="shared" si="69"/>
        <v/>
      </c>
      <c r="C414" s="290"/>
      <c r="D414" s="288" t="str">
        <f t="shared" si="70"/>
        <v/>
      </c>
      <c r="E414" s="289"/>
      <c r="F414" s="288" t="str">
        <f t="shared" si="71"/>
        <v/>
      </c>
      <c r="G414" s="288" t="str">
        <f t="shared" si="72"/>
        <v/>
      </c>
      <c r="H414" s="128"/>
      <c r="I414" s="128"/>
      <c r="J414" s="128"/>
      <c r="K414" s="286"/>
      <c r="L414" s="287"/>
      <c r="M414" s="287"/>
      <c r="N414" s="286"/>
      <c r="O414" s="291"/>
      <c r="P414" s="285"/>
      <c r="R414" s="283" t="str">
        <f t="shared" si="65"/>
        <v/>
      </c>
      <c r="S414" s="283" t="str">
        <f t="shared" si="66"/>
        <v/>
      </c>
      <c r="T414" s="283" t="str">
        <f t="shared" si="67"/>
        <v/>
      </c>
      <c r="AD414" s="283" t="s">
        <v>1825</v>
      </c>
      <c r="AE414" s="283" t="s">
        <v>1824</v>
      </c>
      <c r="AF414" s="283" t="str">
        <f t="shared" si="68"/>
        <v>A679077</v>
      </c>
      <c r="AG414" s="283" t="str">
        <f>VLOOKUP(AF414,[2]AKT!$C$4:$E$324,3,FALSE)</f>
        <v>0942</v>
      </c>
    </row>
    <row r="415" spans="1:33">
      <c r="A415" s="290"/>
      <c r="B415" s="288" t="str">
        <f t="shared" si="69"/>
        <v/>
      </c>
      <c r="C415" s="290"/>
      <c r="D415" s="288" t="str">
        <f t="shared" si="70"/>
        <v/>
      </c>
      <c r="E415" s="289"/>
      <c r="F415" s="288" t="str">
        <f t="shared" si="71"/>
        <v/>
      </c>
      <c r="G415" s="288" t="str">
        <f t="shared" si="72"/>
        <v/>
      </c>
      <c r="H415" s="128"/>
      <c r="I415" s="128"/>
      <c r="J415" s="128"/>
      <c r="K415" s="286"/>
      <c r="L415" s="287"/>
      <c r="M415" s="287"/>
      <c r="N415" s="286"/>
      <c r="O415" s="291"/>
      <c r="P415" s="285"/>
      <c r="R415" s="283" t="str">
        <f t="shared" si="65"/>
        <v/>
      </c>
      <c r="S415" s="283" t="str">
        <f t="shared" si="66"/>
        <v/>
      </c>
      <c r="T415" s="283" t="str">
        <f t="shared" si="67"/>
        <v/>
      </c>
      <c r="AD415" s="283" t="s">
        <v>1823</v>
      </c>
      <c r="AE415" s="283" t="s">
        <v>1822</v>
      </c>
      <c r="AF415" s="283" t="str">
        <f t="shared" si="68"/>
        <v>A679077</v>
      </c>
      <c r="AG415" s="283" t="str">
        <f>VLOOKUP(AF415,[2]AKT!$C$4:$E$324,3,FALSE)</f>
        <v>0942</v>
      </c>
    </row>
    <row r="416" spans="1:33">
      <c r="A416" s="290"/>
      <c r="B416" s="288" t="str">
        <f t="shared" si="69"/>
        <v/>
      </c>
      <c r="C416" s="290"/>
      <c r="D416" s="288" t="str">
        <f t="shared" si="70"/>
        <v/>
      </c>
      <c r="E416" s="289"/>
      <c r="F416" s="288" t="str">
        <f t="shared" si="71"/>
        <v/>
      </c>
      <c r="G416" s="288" t="str">
        <f t="shared" si="72"/>
        <v/>
      </c>
      <c r="H416" s="128"/>
      <c r="I416" s="128"/>
      <c r="J416" s="128"/>
      <c r="K416" s="286"/>
      <c r="L416" s="287"/>
      <c r="M416" s="287"/>
      <c r="N416" s="286"/>
      <c r="O416" s="291"/>
      <c r="P416" s="285"/>
      <c r="R416" s="283" t="str">
        <f t="shared" si="65"/>
        <v/>
      </c>
      <c r="S416" s="283" t="str">
        <f t="shared" si="66"/>
        <v/>
      </c>
      <c r="T416" s="283" t="str">
        <f t="shared" si="67"/>
        <v/>
      </c>
      <c r="AD416" s="283" t="s">
        <v>1821</v>
      </c>
      <c r="AE416" s="283" t="s">
        <v>1820</v>
      </c>
      <c r="AF416" s="283" t="str">
        <f t="shared" si="68"/>
        <v>A679077</v>
      </c>
      <c r="AG416" s="283" t="str">
        <f>VLOOKUP(AF416,[2]AKT!$C$4:$E$324,3,FALSE)</f>
        <v>0942</v>
      </c>
    </row>
    <row r="417" spans="1:33">
      <c r="A417" s="290"/>
      <c r="B417" s="288" t="str">
        <f t="shared" si="69"/>
        <v/>
      </c>
      <c r="C417" s="290"/>
      <c r="D417" s="288" t="str">
        <f t="shared" si="70"/>
        <v/>
      </c>
      <c r="E417" s="289"/>
      <c r="F417" s="288" t="str">
        <f t="shared" si="71"/>
        <v/>
      </c>
      <c r="G417" s="288" t="str">
        <f t="shared" si="72"/>
        <v/>
      </c>
      <c r="H417" s="128"/>
      <c r="I417" s="128"/>
      <c r="J417" s="128"/>
      <c r="K417" s="286"/>
      <c r="L417" s="287"/>
      <c r="M417" s="287"/>
      <c r="N417" s="286"/>
      <c r="O417" s="291"/>
      <c r="P417" s="285"/>
      <c r="R417" s="283" t="str">
        <f t="shared" si="65"/>
        <v/>
      </c>
      <c r="S417" s="283" t="str">
        <f t="shared" si="66"/>
        <v/>
      </c>
      <c r="T417" s="283" t="str">
        <f t="shared" si="67"/>
        <v/>
      </c>
      <c r="AD417" s="283" t="s">
        <v>1819</v>
      </c>
      <c r="AE417" s="283" t="s">
        <v>1818</v>
      </c>
      <c r="AF417" s="283" t="str">
        <f t="shared" si="68"/>
        <v>A679077</v>
      </c>
      <c r="AG417" s="283" t="str">
        <f>VLOOKUP(AF417,[2]AKT!$C$4:$E$324,3,FALSE)</f>
        <v>0942</v>
      </c>
    </row>
    <row r="418" spans="1:33">
      <c r="A418" s="290"/>
      <c r="B418" s="288" t="str">
        <f t="shared" si="69"/>
        <v/>
      </c>
      <c r="C418" s="290"/>
      <c r="D418" s="288" t="str">
        <f t="shared" si="70"/>
        <v/>
      </c>
      <c r="E418" s="289"/>
      <c r="F418" s="288" t="str">
        <f t="shared" si="71"/>
        <v/>
      </c>
      <c r="G418" s="288" t="str">
        <f t="shared" si="72"/>
        <v/>
      </c>
      <c r="H418" s="128"/>
      <c r="I418" s="128"/>
      <c r="J418" s="128"/>
      <c r="K418" s="286"/>
      <c r="L418" s="287"/>
      <c r="M418" s="287"/>
      <c r="N418" s="286"/>
      <c r="O418" s="291"/>
      <c r="P418" s="285"/>
      <c r="R418" s="283" t="str">
        <f t="shared" si="65"/>
        <v/>
      </c>
      <c r="S418" s="283" t="str">
        <f t="shared" si="66"/>
        <v/>
      </c>
      <c r="T418" s="283" t="str">
        <f t="shared" si="67"/>
        <v/>
      </c>
      <c r="AD418" s="283" t="s">
        <v>1817</v>
      </c>
      <c r="AE418" s="283" t="s">
        <v>1816</v>
      </c>
      <c r="AF418" s="283" t="str">
        <f t="shared" si="68"/>
        <v>A679077</v>
      </c>
      <c r="AG418" s="283" t="str">
        <f>VLOOKUP(AF418,[2]AKT!$C$4:$E$324,3,FALSE)</f>
        <v>0942</v>
      </c>
    </row>
    <row r="419" spans="1:33">
      <c r="A419" s="290"/>
      <c r="B419" s="288" t="str">
        <f t="shared" si="69"/>
        <v/>
      </c>
      <c r="C419" s="290"/>
      <c r="D419" s="288" t="str">
        <f t="shared" si="70"/>
        <v/>
      </c>
      <c r="E419" s="289"/>
      <c r="F419" s="288" t="str">
        <f t="shared" si="71"/>
        <v/>
      </c>
      <c r="G419" s="288" t="str">
        <f t="shared" si="72"/>
        <v/>
      </c>
      <c r="H419" s="128"/>
      <c r="I419" s="128"/>
      <c r="J419" s="128"/>
      <c r="K419" s="286"/>
      <c r="L419" s="287"/>
      <c r="M419" s="287"/>
      <c r="N419" s="286"/>
      <c r="O419" s="291"/>
      <c r="P419" s="285"/>
      <c r="R419" s="283" t="str">
        <f t="shared" si="65"/>
        <v/>
      </c>
      <c r="S419" s="283" t="str">
        <f t="shared" si="66"/>
        <v/>
      </c>
      <c r="T419" s="283" t="str">
        <f t="shared" si="67"/>
        <v/>
      </c>
      <c r="AD419" s="283" t="s">
        <v>1815</v>
      </c>
      <c r="AE419" s="283" t="s">
        <v>1814</v>
      </c>
      <c r="AF419" s="283" t="str">
        <f t="shared" si="68"/>
        <v>A679077</v>
      </c>
      <c r="AG419" s="283" t="str">
        <f>VLOOKUP(AF419,[2]AKT!$C$4:$E$324,3,FALSE)</f>
        <v>0942</v>
      </c>
    </row>
    <row r="420" spans="1:33">
      <c r="A420" s="290"/>
      <c r="B420" s="288" t="str">
        <f t="shared" si="69"/>
        <v/>
      </c>
      <c r="C420" s="290"/>
      <c r="D420" s="288" t="str">
        <f t="shared" si="70"/>
        <v/>
      </c>
      <c r="E420" s="289"/>
      <c r="F420" s="288" t="str">
        <f t="shared" si="71"/>
        <v/>
      </c>
      <c r="G420" s="288" t="str">
        <f t="shared" si="72"/>
        <v/>
      </c>
      <c r="H420" s="128"/>
      <c r="I420" s="128"/>
      <c r="J420" s="128"/>
      <c r="K420" s="286"/>
      <c r="L420" s="287"/>
      <c r="M420" s="287"/>
      <c r="N420" s="286"/>
      <c r="O420" s="291"/>
      <c r="P420" s="285"/>
      <c r="R420" s="283" t="str">
        <f t="shared" si="65"/>
        <v/>
      </c>
      <c r="S420" s="283" t="str">
        <f t="shared" si="66"/>
        <v/>
      </c>
      <c r="T420" s="283" t="str">
        <f t="shared" si="67"/>
        <v/>
      </c>
      <c r="AD420" s="283" t="s">
        <v>1813</v>
      </c>
      <c r="AE420" s="283" t="s">
        <v>1812</v>
      </c>
      <c r="AF420" s="283" t="str">
        <f t="shared" si="68"/>
        <v>A679077</v>
      </c>
      <c r="AG420" s="283" t="str">
        <f>VLOOKUP(AF420,[2]AKT!$C$4:$E$324,3,FALSE)</f>
        <v>0942</v>
      </c>
    </row>
    <row r="421" spans="1:33">
      <c r="A421" s="290"/>
      <c r="B421" s="288" t="str">
        <f t="shared" si="69"/>
        <v/>
      </c>
      <c r="C421" s="290"/>
      <c r="D421" s="288" t="str">
        <f t="shared" si="70"/>
        <v/>
      </c>
      <c r="E421" s="289"/>
      <c r="F421" s="288" t="str">
        <f t="shared" si="71"/>
        <v/>
      </c>
      <c r="G421" s="288" t="str">
        <f t="shared" si="72"/>
        <v/>
      </c>
      <c r="H421" s="128"/>
      <c r="I421" s="128"/>
      <c r="J421" s="128"/>
      <c r="K421" s="286"/>
      <c r="L421" s="287"/>
      <c r="M421" s="287"/>
      <c r="N421" s="286"/>
      <c r="O421" s="291"/>
      <c r="P421" s="285"/>
      <c r="R421" s="283" t="str">
        <f t="shared" si="65"/>
        <v/>
      </c>
      <c r="S421" s="283" t="str">
        <f t="shared" si="66"/>
        <v/>
      </c>
      <c r="T421" s="283" t="str">
        <f t="shared" si="67"/>
        <v/>
      </c>
      <c r="AD421" s="283" t="s">
        <v>1811</v>
      </c>
      <c r="AE421" s="283" t="s">
        <v>1810</v>
      </c>
      <c r="AF421" s="283" t="str">
        <f t="shared" si="68"/>
        <v>A679077</v>
      </c>
      <c r="AG421" s="283" t="str">
        <f>VLOOKUP(AF421,[2]AKT!$C$4:$E$324,3,FALSE)</f>
        <v>0942</v>
      </c>
    </row>
    <row r="422" spans="1:33">
      <c r="A422" s="290"/>
      <c r="B422" s="288" t="str">
        <f t="shared" si="69"/>
        <v/>
      </c>
      <c r="C422" s="290"/>
      <c r="D422" s="288" t="str">
        <f t="shared" si="70"/>
        <v/>
      </c>
      <c r="E422" s="289"/>
      <c r="F422" s="288" t="str">
        <f t="shared" si="71"/>
        <v/>
      </c>
      <c r="G422" s="288" t="str">
        <f t="shared" si="72"/>
        <v/>
      </c>
      <c r="H422" s="128"/>
      <c r="I422" s="128"/>
      <c r="J422" s="128"/>
      <c r="K422" s="286"/>
      <c r="L422" s="287"/>
      <c r="M422" s="287"/>
      <c r="N422" s="286"/>
      <c r="O422" s="291"/>
      <c r="P422" s="285"/>
      <c r="R422" s="283" t="str">
        <f t="shared" si="65"/>
        <v/>
      </c>
      <c r="S422" s="283" t="str">
        <f t="shared" si="66"/>
        <v/>
      </c>
      <c r="T422" s="283" t="str">
        <f t="shared" si="67"/>
        <v/>
      </c>
      <c r="AD422" s="283" t="s">
        <v>1809</v>
      </c>
      <c r="AE422" s="283" t="s">
        <v>1808</v>
      </c>
      <c r="AF422" s="283" t="str">
        <f t="shared" si="68"/>
        <v>A679077</v>
      </c>
      <c r="AG422" s="283" t="str">
        <f>VLOOKUP(AF422,[2]AKT!$C$4:$E$324,3,FALSE)</f>
        <v>0942</v>
      </c>
    </row>
    <row r="423" spans="1:33">
      <c r="A423" s="290"/>
      <c r="B423" s="288" t="str">
        <f t="shared" si="69"/>
        <v/>
      </c>
      <c r="C423" s="290"/>
      <c r="D423" s="288" t="str">
        <f t="shared" si="70"/>
        <v/>
      </c>
      <c r="E423" s="289"/>
      <c r="F423" s="288" t="str">
        <f t="shared" si="71"/>
        <v/>
      </c>
      <c r="G423" s="288" t="str">
        <f t="shared" si="72"/>
        <v/>
      </c>
      <c r="H423" s="128"/>
      <c r="I423" s="128"/>
      <c r="J423" s="128"/>
      <c r="K423" s="286"/>
      <c r="L423" s="287"/>
      <c r="M423" s="287"/>
      <c r="N423" s="286"/>
      <c r="O423" s="291"/>
      <c r="P423" s="285"/>
      <c r="R423" s="283" t="str">
        <f t="shared" si="65"/>
        <v/>
      </c>
      <c r="S423" s="283" t="str">
        <f t="shared" si="66"/>
        <v/>
      </c>
      <c r="T423" s="283" t="str">
        <f t="shared" si="67"/>
        <v/>
      </c>
      <c r="AD423" s="283" t="s">
        <v>1807</v>
      </c>
      <c r="AE423" s="283" t="s">
        <v>1806</v>
      </c>
      <c r="AF423" s="283" t="str">
        <f t="shared" si="68"/>
        <v>A679077</v>
      </c>
      <c r="AG423" s="283" t="str">
        <f>VLOOKUP(AF423,[2]AKT!$C$4:$E$324,3,FALSE)</f>
        <v>0942</v>
      </c>
    </row>
    <row r="424" spans="1:33">
      <c r="A424" s="290"/>
      <c r="B424" s="288" t="str">
        <f t="shared" si="69"/>
        <v/>
      </c>
      <c r="C424" s="290"/>
      <c r="D424" s="288" t="str">
        <f t="shared" si="70"/>
        <v/>
      </c>
      <c r="E424" s="289"/>
      <c r="F424" s="288" t="str">
        <f t="shared" si="71"/>
        <v/>
      </c>
      <c r="G424" s="288" t="str">
        <f t="shared" si="72"/>
        <v/>
      </c>
      <c r="H424" s="128"/>
      <c r="I424" s="128"/>
      <c r="J424" s="128"/>
      <c r="K424" s="286"/>
      <c r="L424" s="287"/>
      <c r="M424" s="287"/>
      <c r="N424" s="286"/>
      <c r="O424" s="291"/>
      <c r="P424" s="285"/>
      <c r="R424" s="283" t="str">
        <f t="shared" si="65"/>
        <v/>
      </c>
      <c r="S424" s="283" t="str">
        <f t="shared" si="66"/>
        <v/>
      </c>
      <c r="T424" s="283" t="str">
        <f t="shared" si="67"/>
        <v/>
      </c>
      <c r="AD424" s="283" t="s">
        <v>1805</v>
      </c>
      <c r="AE424" s="283" t="s">
        <v>1804</v>
      </c>
      <c r="AF424" s="283" t="str">
        <f t="shared" si="68"/>
        <v>A679077</v>
      </c>
      <c r="AG424" s="283" t="str">
        <f>VLOOKUP(AF424,[2]AKT!$C$4:$E$324,3,FALSE)</f>
        <v>0942</v>
      </c>
    </row>
    <row r="425" spans="1:33">
      <c r="A425" s="290"/>
      <c r="B425" s="288" t="str">
        <f t="shared" si="69"/>
        <v/>
      </c>
      <c r="C425" s="290"/>
      <c r="D425" s="288" t="str">
        <f t="shared" si="70"/>
        <v/>
      </c>
      <c r="E425" s="289"/>
      <c r="F425" s="288" t="str">
        <f t="shared" si="71"/>
        <v/>
      </c>
      <c r="G425" s="288" t="str">
        <f t="shared" si="72"/>
        <v/>
      </c>
      <c r="H425" s="128"/>
      <c r="I425" s="128"/>
      <c r="J425" s="128"/>
      <c r="K425" s="286"/>
      <c r="L425" s="287"/>
      <c r="M425" s="287"/>
      <c r="N425" s="286"/>
      <c r="O425" s="291"/>
      <c r="P425" s="285"/>
      <c r="R425" s="283" t="str">
        <f t="shared" si="65"/>
        <v/>
      </c>
      <c r="S425" s="283" t="str">
        <f t="shared" si="66"/>
        <v/>
      </c>
      <c r="T425" s="283" t="str">
        <f t="shared" si="67"/>
        <v/>
      </c>
      <c r="AD425" s="283" t="s">
        <v>1803</v>
      </c>
      <c r="AE425" s="283" t="s">
        <v>1802</v>
      </c>
      <c r="AF425" s="283" t="str">
        <f t="shared" si="68"/>
        <v>A679077</v>
      </c>
      <c r="AG425" s="283" t="str">
        <f>VLOOKUP(AF425,[2]AKT!$C$4:$E$324,3,FALSE)</f>
        <v>0942</v>
      </c>
    </row>
    <row r="426" spans="1:33">
      <c r="A426" s="290"/>
      <c r="B426" s="288" t="str">
        <f t="shared" si="69"/>
        <v/>
      </c>
      <c r="C426" s="290"/>
      <c r="D426" s="288" t="str">
        <f t="shared" si="70"/>
        <v/>
      </c>
      <c r="E426" s="289"/>
      <c r="F426" s="288" t="str">
        <f t="shared" si="71"/>
        <v/>
      </c>
      <c r="G426" s="288" t="str">
        <f t="shared" si="72"/>
        <v/>
      </c>
      <c r="H426" s="128"/>
      <c r="I426" s="128"/>
      <c r="J426" s="128"/>
      <c r="K426" s="286"/>
      <c r="L426" s="287"/>
      <c r="M426" s="287"/>
      <c r="N426" s="286"/>
      <c r="O426" s="291"/>
      <c r="P426" s="285"/>
      <c r="R426" s="283" t="str">
        <f t="shared" si="65"/>
        <v/>
      </c>
      <c r="S426" s="283" t="str">
        <f t="shared" si="66"/>
        <v/>
      </c>
      <c r="T426" s="283" t="str">
        <f t="shared" si="67"/>
        <v/>
      </c>
      <c r="AD426" s="283" t="s">
        <v>1801</v>
      </c>
      <c r="AE426" s="283" t="s">
        <v>1800</v>
      </c>
      <c r="AF426" s="283" t="str">
        <f t="shared" si="68"/>
        <v>A679077</v>
      </c>
      <c r="AG426" s="283" t="str">
        <f>VLOOKUP(AF426,[2]AKT!$C$4:$E$324,3,FALSE)</f>
        <v>0942</v>
      </c>
    </row>
    <row r="427" spans="1:33">
      <c r="A427" s="290"/>
      <c r="B427" s="288" t="str">
        <f t="shared" si="69"/>
        <v/>
      </c>
      <c r="C427" s="290"/>
      <c r="D427" s="288" t="str">
        <f t="shared" si="70"/>
        <v/>
      </c>
      <c r="E427" s="289"/>
      <c r="F427" s="288" t="str">
        <f t="shared" si="71"/>
        <v/>
      </c>
      <c r="G427" s="288" t="str">
        <f t="shared" si="72"/>
        <v/>
      </c>
      <c r="H427" s="128"/>
      <c r="I427" s="128"/>
      <c r="J427" s="128"/>
      <c r="K427" s="286"/>
      <c r="L427" s="287"/>
      <c r="M427" s="287"/>
      <c r="N427" s="286"/>
      <c r="O427" s="291"/>
      <c r="P427" s="285"/>
      <c r="R427" s="283" t="str">
        <f t="shared" si="65"/>
        <v/>
      </c>
      <c r="S427" s="283" t="str">
        <f t="shared" si="66"/>
        <v/>
      </c>
      <c r="T427" s="283" t="str">
        <f t="shared" si="67"/>
        <v/>
      </c>
      <c r="AD427" s="283" t="s">
        <v>1799</v>
      </c>
      <c r="AE427" s="283" t="s">
        <v>1798</v>
      </c>
      <c r="AF427" s="283" t="str">
        <f t="shared" si="68"/>
        <v>A679077</v>
      </c>
      <c r="AG427" s="283" t="str">
        <f>VLOOKUP(AF427,[2]AKT!$C$4:$E$324,3,FALSE)</f>
        <v>0942</v>
      </c>
    </row>
    <row r="428" spans="1:33">
      <c r="A428" s="290"/>
      <c r="B428" s="288" t="str">
        <f t="shared" si="69"/>
        <v/>
      </c>
      <c r="C428" s="290"/>
      <c r="D428" s="288" t="str">
        <f t="shared" si="70"/>
        <v/>
      </c>
      <c r="E428" s="289"/>
      <c r="F428" s="288" t="str">
        <f t="shared" si="71"/>
        <v/>
      </c>
      <c r="G428" s="288" t="str">
        <f t="shared" si="72"/>
        <v/>
      </c>
      <c r="H428" s="128"/>
      <c r="I428" s="128"/>
      <c r="J428" s="128"/>
      <c r="K428" s="286"/>
      <c r="L428" s="287"/>
      <c r="M428" s="287"/>
      <c r="N428" s="286"/>
      <c r="O428" s="291"/>
      <c r="P428" s="285"/>
      <c r="R428" s="283" t="str">
        <f t="shared" si="65"/>
        <v/>
      </c>
      <c r="S428" s="283" t="str">
        <f t="shared" si="66"/>
        <v/>
      </c>
      <c r="T428" s="283" t="str">
        <f t="shared" si="67"/>
        <v/>
      </c>
      <c r="AD428" s="283" t="s">
        <v>1797</v>
      </c>
      <c r="AE428" s="283" t="s">
        <v>1796</v>
      </c>
      <c r="AF428" s="283" t="str">
        <f t="shared" si="68"/>
        <v>A679077</v>
      </c>
      <c r="AG428" s="283" t="str">
        <f>VLOOKUP(AF428,[2]AKT!$C$4:$E$324,3,FALSE)</f>
        <v>0942</v>
      </c>
    </row>
    <row r="429" spans="1:33">
      <c r="A429" s="290"/>
      <c r="B429" s="288" t="str">
        <f t="shared" si="69"/>
        <v/>
      </c>
      <c r="C429" s="290"/>
      <c r="D429" s="288" t="str">
        <f t="shared" si="70"/>
        <v/>
      </c>
      <c r="E429" s="289"/>
      <c r="F429" s="288" t="str">
        <f t="shared" si="71"/>
        <v/>
      </c>
      <c r="G429" s="288" t="str">
        <f t="shared" si="72"/>
        <v/>
      </c>
      <c r="H429" s="128"/>
      <c r="I429" s="128"/>
      <c r="J429" s="128"/>
      <c r="K429" s="286"/>
      <c r="L429" s="287"/>
      <c r="M429" s="287"/>
      <c r="N429" s="286"/>
      <c r="O429" s="291"/>
      <c r="P429" s="285"/>
      <c r="R429" s="283" t="str">
        <f t="shared" si="65"/>
        <v/>
      </c>
      <c r="S429" s="283" t="str">
        <f t="shared" si="66"/>
        <v/>
      </c>
      <c r="T429" s="283" t="str">
        <f t="shared" si="67"/>
        <v/>
      </c>
      <c r="AD429" s="283" t="s">
        <v>1795</v>
      </c>
      <c r="AE429" s="283" t="s">
        <v>1794</v>
      </c>
      <c r="AF429" s="283" t="str">
        <f t="shared" si="68"/>
        <v>A679077</v>
      </c>
      <c r="AG429" s="283" t="str">
        <f>VLOOKUP(AF429,[2]AKT!$C$4:$E$324,3,FALSE)</f>
        <v>0942</v>
      </c>
    </row>
    <row r="430" spans="1:33">
      <c r="A430" s="290"/>
      <c r="B430" s="288" t="str">
        <f t="shared" si="69"/>
        <v/>
      </c>
      <c r="C430" s="290"/>
      <c r="D430" s="288" t="str">
        <f t="shared" si="70"/>
        <v/>
      </c>
      <c r="E430" s="289"/>
      <c r="F430" s="288" t="str">
        <f t="shared" si="71"/>
        <v/>
      </c>
      <c r="G430" s="288" t="str">
        <f t="shared" si="72"/>
        <v/>
      </c>
      <c r="H430" s="128"/>
      <c r="I430" s="128"/>
      <c r="J430" s="128"/>
      <c r="K430" s="286"/>
      <c r="L430" s="287"/>
      <c r="M430" s="287"/>
      <c r="N430" s="286"/>
      <c r="O430" s="291"/>
      <c r="P430" s="285"/>
      <c r="R430" s="283" t="str">
        <f t="shared" si="65"/>
        <v/>
      </c>
      <c r="S430" s="283" t="str">
        <f t="shared" si="66"/>
        <v/>
      </c>
      <c r="T430" s="283" t="str">
        <f t="shared" si="67"/>
        <v/>
      </c>
      <c r="AD430" s="283" t="s">
        <v>1793</v>
      </c>
      <c r="AE430" s="283" t="s">
        <v>1792</v>
      </c>
      <c r="AF430" s="283" t="str">
        <f t="shared" si="68"/>
        <v>A679078</v>
      </c>
      <c r="AG430" s="283" t="str">
        <f>VLOOKUP(AF430,[2]AKT!$C$4:$E$324,3,FALSE)</f>
        <v>0942</v>
      </c>
    </row>
    <row r="431" spans="1:33">
      <c r="A431" s="290"/>
      <c r="B431" s="288" t="str">
        <f t="shared" si="69"/>
        <v/>
      </c>
      <c r="C431" s="290"/>
      <c r="D431" s="288" t="str">
        <f t="shared" si="70"/>
        <v/>
      </c>
      <c r="E431" s="289"/>
      <c r="F431" s="288" t="str">
        <f t="shared" si="71"/>
        <v/>
      </c>
      <c r="G431" s="288" t="str">
        <f t="shared" si="72"/>
        <v/>
      </c>
      <c r="H431" s="128"/>
      <c r="I431" s="128"/>
      <c r="J431" s="128"/>
      <c r="K431" s="286"/>
      <c r="L431" s="287"/>
      <c r="M431" s="287"/>
      <c r="N431" s="286"/>
      <c r="O431" s="291"/>
      <c r="P431" s="285"/>
      <c r="R431" s="283" t="str">
        <f t="shared" si="65"/>
        <v/>
      </c>
      <c r="S431" s="283" t="str">
        <f t="shared" si="66"/>
        <v/>
      </c>
      <c r="T431" s="283" t="str">
        <f t="shared" si="67"/>
        <v/>
      </c>
      <c r="AD431" s="283" t="s">
        <v>1791</v>
      </c>
      <c r="AE431" s="283" t="s">
        <v>1790</v>
      </c>
      <c r="AF431" s="283" t="str">
        <f t="shared" si="68"/>
        <v>A679078</v>
      </c>
      <c r="AG431" s="283" t="str">
        <f>VLOOKUP(AF431,[2]AKT!$C$4:$E$324,3,FALSE)</f>
        <v>0942</v>
      </c>
    </row>
    <row r="432" spans="1:33">
      <c r="A432" s="290"/>
      <c r="B432" s="288" t="str">
        <f t="shared" si="69"/>
        <v/>
      </c>
      <c r="C432" s="290"/>
      <c r="D432" s="288" t="str">
        <f t="shared" si="70"/>
        <v/>
      </c>
      <c r="E432" s="289"/>
      <c r="F432" s="288" t="str">
        <f t="shared" si="71"/>
        <v/>
      </c>
      <c r="G432" s="288" t="str">
        <f t="shared" si="72"/>
        <v/>
      </c>
      <c r="H432" s="128"/>
      <c r="I432" s="128"/>
      <c r="J432" s="128"/>
      <c r="K432" s="286"/>
      <c r="L432" s="287"/>
      <c r="M432" s="287"/>
      <c r="N432" s="286"/>
      <c r="O432" s="291"/>
      <c r="P432" s="285"/>
      <c r="R432" s="283" t="str">
        <f t="shared" si="65"/>
        <v/>
      </c>
      <c r="S432" s="283" t="str">
        <f t="shared" si="66"/>
        <v/>
      </c>
      <c r="T432" s="283" t="str">
        <f t="shared" si="67"/>
        <v/>
      </c>
      <c r="AD432" s="283" t="s">
        <v>1789</v>
      </c>
      <c r="AE432" s="283" t="s">
        <v>1788</v>
      </c>
      <c r="AF432" s="283" t="str">
        <f t="shared" si="68"/>
        <v>A679078</v>
      </c>
      <c r="AG432" s="283" t="str">
        <f>VLOOKUP(AF432,[2]AKT!$C$4:$E$324,3,FALSE)</f>
        <v>0942</v>
      </c>
    </row>
    <row r="433" spans="1:33">
      <c r="A433" s="290"/>
      <c r="B433" s="288" t="str">
        <f t="shared" si="69"/>
        <v/>
      </c>
      <c r="C433" s="290"/>
      <c r="D433" s="288" t="str">
        <f t="shared" si="70"/>
        <v/>
      </c>
      <c r="E433" s="289"/>
      <c r="F433" s="288" t="str">
        <f t="shared" si="71"/>
        <v/>
      </c>
      <c r="G433" s="288" t="str">
        <f t="shared" si="72"/>
        <v/>
      </c>
      <c r="H433" s="128"/>
      <c r="I433" s="128"/>
      <c r="J433" s="128"/>
      <c r="K433" s="286"/>
      <c r="L433" s="287"/>
      <c r="M433" s="287"/>
      <c r="N433" s="286"/>
      <c r="O433" s="291"/>
      <c r="P433" s="285"/>
      <c r="R433" s="283" t="str">
        <f t="shared" si="65"/>
        <v/>
      </c>
      <c r="S433" s="283" t="str">
        <f t="shared" si="66"/>
        <v/>
      </c>
      <c r="T433" s="283" t="str">
        <f t="shared" si="67"/>
        <v/>
      </c>
      <c r="AD433" s="283" t="s">
        <v>1787</v>
      </c>
      <c r="AE433" s="283" t="s">
        <v>1786</v>
      </c>
      <c r="AF433" s="283" t="str">
        <f t="shared" si="68"/>
        <v>A679078</v>
      </c>
      <c r="AG433" s="283" t="str">
        <f>VLOOKUP(AF433,[2]AKT!$C$4:$E$324,3,FALSE)</f>
        <v>0942</v>
      </c>
    </row>
    <row r="434" spans="1:33">
      <c r="A434" s="290"/>
      <c r="B434" s="288" t="str">
        <f t="shared" si="69"/>
        <v/>
      </c>
      <c r="C434" s="290"/>
      <c r="D434" s="288" t="str">
        <f t="shared" si="70"/>
        <v/>
      </c>
      <c r="E434" s="289"/>
      <c r="F434" s="288" t="str">
        <f t="shared" si="71"/>
        <v/>
      </c>
      <c r="G434" s="288" t="str">
        <f t="shared" si="72"/>
        <v/>
      </c>
      <c r="H434" s="128"/>
      <c r="I434" s="128"/>
      <c r="J434" s="128"/>
      <c r="K434" s="286"/>
      <c r="L434" s="287"/>
      <c r="M434" s="287"/>
      <c r="N434" s="286"/>
      <c r="O434" s="291"/>
      <c r="P434" s="285"/>
      <c r="R434" s="283" t="str">
        <f t="shared" si="65"/>
        <v/>
      </c>
      <c r="S434" s="283" t="str">
        <f t="shared" si="66"/>
        <v/>
      </c>
      <c r="T434" s="283" t="str">
        <f t="shared" si="67"/>
        <v/>
      </c>
      <c r="AD434" s="283" t="s">
        <v>1785</v>
      </c>
      <c r="AE434" s="283" t="s">
        <v>1784</v>
      </c>
      <c r="AF434" s="283" t="str">
        <f t="shared" si="68"/>
        <v>A679078</v>
      </c>
      <c r="AG434" s="283" t="str">
        <f>VLOOKUP(AF434,[2]AKT!$C$4:$E$324,3,FALSE)</f>
        <v>0942</v>
      </c>
    </row>
    <row r="435" spans="1:33">
      <c r="A435" s="290"/>
      <c r="B435" s="288" t="str">
        <f t="shared" si="69"/>
        <v/>
      </c>
      <c r="C435" s="290"/>
      <c r="D435" s="288" t="str">
        <f t="shared" si="70"/>
        <v/>
      </c>
      <c r="E435" s="289"/>
      <c r="F435" s="288" t="str">
        <f t="shared" si="71"/>
        <v/>
      </c>
      <c r="G435" s="288" t="str">
        <f t="shared" si="72"/>
        <v/>
      </c>
      <c r="H435" s="128"/>
      <c r="I435" s="128"/>
      <c r="J435" s="128"/>
      <c r="K435" s="286"/>
      <c r="L435" s="287"/>
      <c r="M435" s="287"/>
      <c r="N435" s="286"/>
      <c r="O435" s="291"/>
      <c r="P435" s="285"/>
      <c r="R435" s="283" t="str">
        <f t="shared" si="65"/>
        <v/>
      </c>
      <c r="S435" s="283" t="str">
        <f t="shared" si="66"/>
        <v/>
      </c>
      <c r="T435" s="283" t="str">
        <f t="shared" si="67"/>
        <v/>
      </c>
      <c r="AD435" s="283" t="s">
        <v>1783</v>
      </c>
      <c r="AE435" s="283" t="s">
        <v>1782</v>
      </c>
      <c r="AF435" s="283" t="str">
        <f t="shared" si="68"/>
        <v>A679078</v>
      </c>
      <c r="AG435" s="283" t="str">
        <f>VLOOKUP(AF435,[2]AKT!$C$4:$E$324,3,FALSE)</f>
        <v>0942</v>
      </c>
    </row>
    <row r="436" spans="1:33">
      <c r="A436" s="290"/>
      <c r="B436" s="288" t="str">
        <f t="shared" si="69"/>
        <v/>
      </c>
      <c r="C436" s="290"/>
      <c r="D436" s="288" t="str">
        <f t="shared" si="70"/>
        <v/>
      </c>
      <c r="E436" s="289"/>
      <c r="F436" s="288" t="str">
        <f t="shared" si="71"/>
        <v/>
      </c>
      <c r="G436" s="288" t="str">
        <f t="shared" si="72"/>
        <v/>
      </c>
      <c r="H436" s="128"/>
      <c r="I436" s="128"/>
      <c r="J436" s="128"/>
      <c r="K436" s="286"/>
      <c r="L436" s="287"/>
      <c r="M436" s="287"/>
      <c r="N436" s="286"/>
      <c r="O436" s="291"/>
      <c r="P436" s="285"/>
      <c r="R436" s="283" t="str">
        <f t="shared" si="65"/>
        <v/>
      </c>
      <c r="S436" s="283" t="str">
        <f t="shared" si="66"/>
        <v/>
      </c>
      <c r="T436" s="283" t="str">
        <f t="shared" si="67"/>
        <v/>
      </c>
      <c r="AD436" s="283" t="s">
        <v>1781</v>
      </c>
      <c r="AE436" s="283" t="s">
        <v>1780</v>
      </c>
      <c r="AF436" s="283" t="str">
        <f t="shared" si="68"/>
        <v>A679078</v>
      </c>
      <c r="AG436" s="283" t="str">
        <f>VLOOKUP(AF436,[2]AKT!$C$4:$E$324,3,FALSE)</f>
        <v>0942</v>
      </c>
    </row>
    <row r="437" spans="1:33">
      <c r="A437" s="290"/>
      <c r="B437" s="288" t="str">
        <f t="shared" si="69"/>
        <v/>
      </c>
      <c r="C437" s="290"/>
      <c r="D437" s="288" t="str">
        <f t="shared" si="70"/>
        <v/>
      </c>
      <c r="E437" s="289"/>
      <c r="F437" s="288" t="str">
        <f t="shared" si="71"/>
        <v/>
      </c>
      <c r="G437" s="288" t="str">
        <f t="shared" si="72"/>
        <v/>
      </c>
      <c r="H437" s="128"/>
      <c r="I437" s="128"/>
      <c r="J437" s="128"/>
      <c r="K437" s="286"/>
      <c r="L437" s="287"/>
      <c r="M437" s="287"/>
      <c r="N437" s="286"/>
      <c r="O437" s="291"/>
      <c r="P437" s="285"/>
      <c r="R437" s="283" t="str">
        <f t="shared" si="65"/>
        <v/>
      </c>
      <c r="S437" s="283" t="str">
        <f t="shared" si="66"/>
        <v/>
      </c>
      <c r="T437" s="283" t="str">
        <f t="shared" si="67"/>
        <v/>
      </c>
      <c r="AD437" s="283" t="s">
        <v>1779</v>
      </c>
      <c r="AE437" s="283" t="s">
        <v>1778</v>
      </c>
      <c r="AF437" s="283" t="str">
        <f t="shared" si="68"/>
        <v>A679078</v>
      </c>
      <c r="AG437" s="283" t="str">
        <f>VLOOKUP(AF437,[2]AKT!$C$4:$E$324,3,FALSE)</f>
        <v>0942</v>
      </c>
    </row>
    <row r="438" spans="1:33">
      <c r="A438" s="290"/>
      <c r="B438" s="288" t="str">
        <f t="shared" si="69"/>
        <v/>
      </c>
      <c r="C438" s="290"/>
      <c r="D438" s="288" t="str">
        <f t="shared" si="70"/>
        <v/>
      </c>
      <c r="E438" s="289"/>
      <c r="F438" s="288" t="str">
        <f t="shared" si="71"/>
        <v/>
      </c>
      <c r="G438" s="288" t="str">
        <f t="shared" si="72"/>
        <v/>
      </c>
      <c r="H438" s="128"/>
      <c r="I438" s="128"/>
      <c r="J438" s="128"/>
      <c r="K438" s="286"/>
      <c r="L438" s="287"/>
      <c r="M438" s="287"/>
      <c r="N438" s="286"/>
      <c r="O438" s="291"/>
      <c r="P438" s="285"/>
      <c r="R438" s="283" t="str">
        <f t="shared" si="65"/>
        <v/>
      </c>
      <c r="S438" s="283" t="str">
        <f t="shared" si="66"/>
        <v/>
      </c>
      <c r="T438" s="283" t="str">
        <f t="shared" si="67"/>
        <v/>
      </c>
      <c r="AD438" s="283" t="s">
        <v>1777</v>
      </c>
      <c r="AE438" s="283" t="s">
        <v>1776</v>
      </c>
      <c r="AF438" s="283" t="str">
        <f t="shared" si="68"/>
        <v>A679078</v>
      </c>
      <c r="AG438" s="283" t="str">
        <f>VLOOKUP(AF438,[2]AKT!$C$4:$E$324,3,FALSE)</f>
        <v>0942</v>
      </c>
    </row>
    <row r="439" spans="1:33">
      <c r="A439" s="290"/>
      <c r="B439" s="288" t="str">
        <f t="shared" si="69"/>
        <v/>
      </c>
      <c r="C439" s="290"/>
      <c r="D439" s="288" t="str">
        <f t="shared" si="70"/>
        <v/>
      </c>
      <c r="E439" s="289"/>
      <c r="F439" s="288" t="str">
        <f t="shared" si="71"/>
        <v/>
      </c>
      <c r="G439" s="288" t="str">
        <f t="shared" si="72"/>
        <v/>
      </c>
      <c r="H439" s="128"/>
      <c r="I439" s="128"/>
      <c r="J439" s="128"/>
      <c r="K439" s="286"/>
      <c r="L439" s="287"/>
      <c r="M439" s="287"/>
      <c r="N439" s="286"/>
      <c r="O439" s="291"/>
      <c r="P439" s="285"/>
      <c r="R439" s="283" t="str">
        <f t="shared" si="65"/>
        <v/>
      </c>
      <c r="S439" s="283" t="str">
        <f t="shared" si="66"/>
        <v/>
      </c>
      <c r="T439" s="283" t="str">
        <f t="shared" si="67"/>
        <v/>
      </c>
      <c r="AD439" s="283" t="s">
        <v>1775</v>
      </c>
      <c r="AE439" s="283" t="s">
        <v>1774</v>
      </c>
      <c r="AF439" s="283" t="str">
        <f t="shared" si="68"/>
        <v>A679078</v>
      </c>
      <c r="AG439" s="283" t="str">
        <f>VLOOKUP(AF439,[2]AKT!$C$4:$E$324,3,FALSE)</f>
        <v>0942</v>
      </c>
    </row>
    <row r="440" spans="1:33">
      <c r="A440" s="290"/>
      <c r="B440" s="288" t="str">
        <f t="shared" si="69"/>
        <v/>
      </c>
      <c r="C440" s="290"/>
      <c r="D440" s="288" t="str">
        <f t="shared" si="70"/>
        <v/>
      </c>
      <c r="E440" s="289"/>
      <c r="F440" s="288" t="str">
        <f t="shared" si="71"/>
        <v/>
      </c>
      <c r="G440" s="288" t="str">
        <f t="shared" si="72"/>
        <v/>
      </c>
      <c r="H440" s="128"/>
      <c r="I440" s="128"/>
      <c r="J440" s="128"/>
      <c r="K440" s="286"/>
      <c r="L440" s="287"/>
      <c r="M440" s="287"/>
      <c r="N440" s="286"/>
      <c r="O440" s="291"/>
      <c r="P440" s="285"/>
      <c r="R440" s="283" t="str">
        <f t="shared" si="65"/>
        <v/>
      </c>
      <c r="S440" s="283" t="str">
        <f t="shared" si="66"/>
        <v/>
      </c>
      <c r="T440" s="283" t="str">
        <f t="shared" si="67"/>
        <v/>
      </c>
      <c r="AD440" s="283" t="s">
        <v>1773</v>
      </c>
      <c r="AE440" s="283" t="s">
        <v>1772</v>
      </c>
      <c r="AF440" s="283" t="str">
        <f t="shared" si="68"/>
        <v>A679078</v>
      </c>
      <c r="AG440" s="283" t="str">
        <f>VLOOKUP(AF440,[2]AKT!$C$4:$E$324,3,FALSE)</f>
        <v>0942</v>
      </c>
    </row>
    <row r="441" spans="1:33">
      <c r="A441" s="290"/>
      <c r="B441" s="288" t="str">
        <f t="shared" si="69"/>
        <v/>
      </c>
      <c r="C441" s="290"/>
      <c r="D441" s="288" t="str">
        <f t="shared" si="70"/>
        <v/>
      </c>
      <c r="E441" s="289"/>
      <c r="F441" s="288" t="str">
        <f t="shared" si="71"/>
        <v/>
      </c>
      <c r="G441" s="288" t="str">
        <f t="shared" si="72"/>
        <v/>
      </c>
      <c r="H441" s="128"/>
      <c r="I441" s="128"/>
      <c r="J441" s="128"/>
      <c r="K441" s="286"/>
      <c r="L441" s="287"/>
      <c r="M441" s="287"/>
      <c r="N441" s="286"/>
      <c r="O441" s="291"/>
      <c r="P441" s="285"/>
      <c r="R441" s="283" t="str">
        <f t="shared" si="65"/>
        <v/>
      </c>
      <c r="S441" s="283" t="str">
        <f t="shared" si="66"/>
        <v/>
      </c>
      <c r="T441" s="283" t="str">
        <f t="shared" si="67"/>
        <v/>
      </c>
      <c r="AD441" s="283" t="s">
        <v>1771</v>
      </c>
      <c r="AE441" s="283" t="s">
        <v>1770</v>
      </c>
      <c r="AF441" s="283" t="str">
        <f t="shared" si="68"/>
        <v>A679078</v>
      </c>
      <c r="AG441" s="283" t="str">
        <f>VLOOKUP(AF441,[2]AKT!$C$4:$E$324,3,FALSE)</f>
        <v>0942</v>
      </c>
    </row>
    <row r="442" spans="1:33">
      <c r="A442" s="290"/>
      <c r="B442" s="288" t="str">
        <f t="shared" si="69"/>
        <v/>
      </c>
      <c r="C442" s="290"/>
      <c r="D442" s="288" t="str">
        <f t="shared" si="70"/>
        <v/>
      </c>
      <c r="E442" s="289"/>
      <c r="F442" s="288" t="str">
        <f t="shared" si="71"/>
        <v/>
      </c>
      <c r="G442" s="288" t="str">
        <f t="shared" si="72"/>
        <v/>
      </c>
      <c r="H442" s="128"/>
      <c r="I442" s="128"/>
      <c r="J442" s="128"/>
      <c r="K442" s="286"/>
      <c r="L442" s="287"/>
      <c r="M442" s="287"/>
      <c r="N442" s="286"/>
      <c r="O442" s="291"/>
      <c r="P442" s="285"/>
      <c r="R442" s="283" t="str">
        <f t="shared" si="65"/>
        <v/>
      </c>
      <c r="S442" s="283" t="str">
        <f t="shared" si="66"/>
        <v/>
      </c>
      <c r="T442" s="283" t="str">
        <f t="shared" si="67"/>
        <v/>
      </c>
      <c r="AD442" s="283" t="s">
        <v>1769</v>
      </c>
      <c r="AE442" s="283" t="s">
        <v>1768</v>
      </c>
      <c r="AF442" s="283" t="str">
        <f t="shared" si="68"/>
        <v>A679078</v>
      </c>
      <c r="AG442" s="283" t="str">
        <f>VLOOKUP(AF442,[2]AKT!$C$4:$E$324,3,FALSE)</f>
        <v>0942</v>
      </c>
    </row>
    <row r="443" spans="1:33">
      <c r="A443" s="290"/>
      <c r="B443" s="288" t="str">
        <f t="shared" si="69"/>
        <v/>
      </c>
      <c r="C443" s="290"/>
      <c r="D443" s="288" t="str">
        <f t="shared" si="70"/>
        <v/>
      </c>
      <c r="E443" s="289"/>
      <c r="F443" s="288" t="str">
        <f t="shared" si="71"/>
        <v/>
      </c>
      <c r="G443" s="288" t="str">
        <f t="shared" si="72"/>
        <v/>
      </c>
      <c r="H443" s="128"/>
      <c r="I443" s="128"/>
      <c r="J443" s="128"/>
      <c r="K443" s="286"/>
      <c r="L443" s="287"/>
      <c r="M443" s="287"/>
      <c r="N443" s="286"/>
      <c r="O443" s="291"/>
      <c r="P443" s="285"/>
      <c r="R443" s="283" t="str">
        <f t="shared" ref="R443:R506" si="73">LEFT(C443,3)</f>
        <v/>
      </c>
      <c r="S443" s="283" t="str">
        <f t="shared" ref="S443:S506" si="74">LEFT(C443,2)</f>
        <v/>
      </c>
      <c r="T443" s="283" t="str">
        <f t="shared" ref="T443:T506" si="75">MID(G443,2,2)</f>
        <v/>
      </c>
      <c r="AD443" s="283" t="s">
        <v>1767</v>
      </c>
      <c r="AE443" s="283" t="s">
        <v>1766</v>
      </c>
      <c r="AF443" s="283" t="str">
        <f t="shared" ref="AF443:AF506" si="76">LEFT(AD443,7)</f>
        <v>A679078</v>
      </c>
      <c r="AG443" s="283" t="str">
        <f>VLOOKUP(AF443,[2]AKT!$C$4:$E$324,3,FALSE)</f>
        <v>0942</v>
      </c>
    </row>
    <row r="444" spans="1:33">
      <c r="A444" s="290"/>
      <c r="B444" s="288" t="str">
        <f t="shared" si="69"/>
        <v/>
      </c>
      <c r="C444" s="290"/>
      <c r="D444" s="288" t="str">
        <f t="shared" si="70"/>
        <v/>
      </c>
      <c r="E444" s="289"/>
      <c r="F444" s="288" t="str">
        <f t="shared" si="71"/>
        <v/>
      </c>
      <c r="G444" s="288" t="str">
        <f t="shared" si="72"/>
        <v/>
      </c>
      <c r="H444" s="128"/>
      <c r="I444" s="128"/>
      <c r="J444" s="128"/>
      <c r="K444" s="286"/>
      <c r="L444" s="287"/>
      <c r="M444" s="287"/>
      <c r="N444" s="286"/>
      <c r="O444" s="291"/>
      <c r="P444" s="285"/>
      <c r="R444" s="283" t="str">
        <f t="shared" si="73"/>
        <v/>
      </c>
      <c r="S444" s="283" t="str">
        <f t="shared" si="74"/>
        <v/>
      </c>
      <c r="T444" s="283" t="str">
        <f t="shared" si="75"/>
        <v/>
      </c>
      <c r="AD444" s="283" t="s">
        <v>1765</v>
      </c>
      <c r="AE444" s="283" t="s">
        <v>1764</v>
      </c>
      <c r="AF444" s="283" t="str">
        <f t="shared" si="76"/>
        <v>A679078</v>
      </c>
      <c r="AG444" s="283" t="str">
        <f>VLOOKUP(AF444,[2]AKT!$C$4:$E$324,3,FALSE)</f>
        <v>0942</v>
      </c>
    </row>
    <row r="445" spans="1:33">
      <c r="A445" s="290"/>
      <c r="B445" s="288" t="str">
        <f t="shared" si="69"/>
        <v/>
      </c>
      <c r="C445" s="290"/>
      <c r="D445" s="288" t="str">
        <f t="shared" si="70"/>
        <v/>
      </c>
      <c r="E445" s="289"/>
      <c r="F445" s="288" t="str">
        <f t="shared" si="71"/>
        <v/>
      </c>
      <c r="G445" s="288" t="str">
        <f t="shared" si="72"/>
        <v/>
      </c>
      <c r="H445" s="128"/>
      <c r="I445" s="128"/>
      <c r="J445" s="128"/>
      <c r="K445" s="286"/>
      <c r="L445" s="287"/>
      <c r="M445" s="287"/>
      <c r="N445" s="286"/>
      <c r="O445" s="291"/>
      <c r="P445" s="285"/>
      <c r="R445" s="283" t="str">
        <f t="shared" si="73"/>
        <v/>
      </c>
      <c r="S445" s="283" t="str">
        <f t="shared" si="74"/>
        <v/>
      </c>
      <c r="T445" s="283" t="str">
        <f t="shared" si="75"/>
        <v/>
      </c>
      <c r="AD445" s="283" t="s">
        <v>1763</v>
      </c>
      <c r="AE445" s="283" t="s">
        <v>1762</v>
      </c>
      <c r="AF445" s="283" t="str">
        <f t="shared" si="76"/>
        <v>A679078</v>
      </c>
      <c r="AG445" s="283" t="str">
        <f>VLOOKUP(AF445,[2]AKT!$C$4:$E$324,3,FALSE)</f>
        <v>0942</v>
      </c>
    </row>
    <row r="446" spans="1:33">
      <c r="A446" s="290"/>
      <c r="B446" s="288" t="str">
        <f t="shared" si="69"/>
        <v/>
      </c>
      <c r="C446" s="290"/>
      <c r="D446" s="288" t="str">
        <f t="shared" si="70"/>
        <v/>
      </c>
      <c r="E446" s="289"/>
      <c r="F446" s="288" t="str">
        <f t="shared" si="71"/>
        <v/>
      </c>
      <c r="G446" s="288" t="str">
        <f t="shared" si="72"/>
        <v/>
      </c>
      <c r="H446" s="128"/>
      <c r="I446" s="128"/>
      <c r="J446" s="128"/>
      <c r="K446" s="286"/>
      <c r="L446" s="287"/>
      <c r="M446" s="287"/>
      <c r="N446" s="286"/>
      <c r="O446" s="291"/>
      <c r="P446" s="285"/>
      <c r="R446" s="283" t="str">
        <f t="shared" si="73"/>
        <v/>
      </c>
      <c r="S446" s="283" t="str">
        <f t="shared" si="74"/>
        <v/>
      </c>
      <c r="T446" s="283" t="str">
        <f t="shared" si="75"/>
        <v/>
      </c>
      <c r="AD446" s="283" t="s">
        <v>1761</v>
      </c>
      <c r="AE446" s="283" t="s">
        <v>1760</v>
      </c>
      <c r="AF446" s="283" t="str">
        <f t="shared" si="76"/>
        <v>A679078</v>
      </c>
      <c r="AG446" s="283" t="str">
        <f>VLOOKUP(AF446,[2]AKT!$C$4:$E$324,3,FALSE)</f>
        <v>0942</v>
      </c>
    </row>
    <row r="447" spans="1:33">
      <c r="A447" s="290"/>
      <c r="B447" s="288" t="str">
        <f t="shared" si="69"/>
        <v/>
      </c>
      <c r="C447" s="290"/>
      <c r="D447" s="288" t="str">
        <f t="shared" si="70"/>
        <v/>
      </c>
      <c r="E447" s="289"/>
      <c r="F447" s="288" t="str">
        <f t="shared" si="71"/>
        <v/>
      </c>
      <c r="G447" s="288" t="str">
        <f t="shared" si="72"/>
        <v/>
      </c>
      <c r="H447" s="128"/>
      <c r="I447" s="128"/>
      <c r="J447" s="128"/>
      <c r="K447" s="286"/>
      <c r="L447" s="287"/>
      <c r="M447" s="287"/>
      <c r="N447" s="286"/>
      <c r="O447" s="291"/>
      <c r="P447" s="285"/>
      <c r="R447" s="283" t="str">
        <f t="shared" si="73"/>
        <v/>
      </c>
      <c r="S447" s="283" t="str">
        <f t="shared" si="74"/>
        <v/>
      </c>
      <c r="T447" s="283" t="str">
        <f t="shared" si="75"/>
        <v/>
      </c>
      <c r="AD447" s="283" t="s">
        <v>1759</v>
      </c>
      <c r="AE447" s="283" t="s">
        <v>1758</v>
      </c>
      <c r="AF447" s="283" t="str">
        <f t="shared" si="76"/>
        <v>A679078</v>
      </c>
      <c r="AG447" s="283" t="str">
        <f>VLOOKUP(AF447,[2]AKT!$C$4:$E$324,3,FALSE)</f>
        <v>0942</v>
      </c>
    </row>
    <row r="448" spans="1:33">
      <c r="A448" s="290"/>
      <c r="B448" s="288" t="str">
        <f t="shared" si="69"/>
        <v/>
      </c>
      <c r="C448" s="290"/>
      <c r="D448" s="288" t="str">
        <f t="shared" si="70"/>
        <v/>
      </c>
      <c r="E448" s="289"/>
      <c r="F448" s="288" t="str">
        <f t="shared" si="71"/>
        <v/>
      </c>
      <c r="G448" s="288" t="str">
        <f t="shared" si="72"/>
        <v/>
      </c>
      <c r="H448" s="128"/>
      <c r="I448" s="128"/>
      <c r="J448" s="128"/>
      <c r="K448" s="286"/>
      <c r="L448" s="287"/>
      <c r="M448" s="287"/>
      <c r="N448" s="286"/>
      <c r="O448" s="291"/>
      <c r="P448" s="285"/>
      <c r="R448" s="283" t="str">
        <f t="shared" si="73"/>
        <v/>
      </c>
      <c r="S448" s="283" t="str">
        <f t="shared" si="74"/>
        <v/>
      </c>
      <c r="T448" s="283" t="str">
        <f t="shared" si="75"/>
        <v/>
      </c>
      <c r="AD448" s="283" t="s">
        <v>1757</v>
      </c>
      <c r="AE448" s="283" t="s">
        <v>1756</v>
      </c>
      <c r="AF448" s="283" t="str">
        <f t="shared" si="76"/>
        <v>A679078</v>
      </c>
      <c r="AG448" s="283" t="str">
        <f>VLOOKUP(AF448,[2]AKT!$C$4:$E$324,3,FALSE)</f>
        <v>0942</v>
      </c>
    </row>
    <row r="449" spans="1:33">
      <c r="A449" s="290"/>
      <c r="B449" s="288" t="str">
        <f t="shared" si="69"/>
        <v/>
      </c>
      <c r="C449" s="290"/>
      <c r="D449" s="288" t="str">
        <f t="shared" si="70"/>
        <v/>
      </c>
      <c r="E449" s="289"/>
      <c r="F449" s="288" t="str">
        <f t="shared" si="71"/>
        <v/>
      </c>
      <c r="G449" s="288" t="str">
        <f t="shared" si="72"/>
        <v/>
      </c>
      <c r="H449" s="128"/>
      <c r="I449" s="128"/>
      <c r="J449" s="128"/>
      <c r="K449" s="286"/>
      <c r="L449" s="287"/>
      <c r="M449" s="287"/>
      <c r="N449" s="286"/>
      <c r="O449" s="291"/>
      <c r="P449" s="285"/>
      <c r="R449" s="283" t="str">
        <f t="shared" si="73"/>
        <v/>
      </c>
      <c r="S449" s="283" t="str">
        <f t="shared" si="74"/>
        <v/>
      </c>
      <c r="T449" s="283" t="str">
        <f t="shared" si="75"/>
        <v/>
      </c>
      <c r="AD449" s="283" t="s">
        <v>1755</v>
      </c>
      <c r="AE449" s="283" t="s">
        <v>1754</v>
      </c>
      <c r="AF449" s="283" t="str">
        <f t="shared" si="76"/>
        <v>A679078</v>
      </c>
      <c r="AG449" s="283" t="str">
        <f>VLOOKUP(AF449,[2]AKT!$C$4:$E$324,3,FALSE)</f>
        <v>0942</v>
      </c>
    </row>
    <row r="450" spans="1:33">
      <c r="A450" s="290"/>
      <c r="B450" s="288" t="str">
        <f t="shared" si="69"/>
        <v/>
      </c>
      <c r="C450" s="290"/>
      <c r="D450" s="288" t="str">
        <f t="shared" si="70"/>
        <v/>
      </c>
      <c r="E450" s="289"/>
      <c r="F450" s="288" t="str">
        <f t="shared" si="71"/>
        <v/>
      </c>
      <c r="G450" s="288" t="str">
        <f t="shared" si="72"/>
        <v/>
      </c>
      <c r="H450" s="128"/>
      <c r="I450" s="128"/>
      <c r="J450" s="128"/>
      <c r="K450" s="286"/>
      <c r="L450" s="287"/>
      <c r="M450" s="287"/>
      <c r="N450" s="286"/>
      <c r="O450" s="291"/>
      <c r="P450" s="285"/>
      <c r="R450" s="283" t="str">
        <f t="shared" si="73"/>
        <v/>
      </c>
      <c r="S450" s="283" t="str">
        <f t="shared" si="74"/>
        <v/>
      </c>
      <c r="T450" s="283" t="str">
        <f t="shared" si="75"/>
        <v/>
      </c>
      <c r="AD450" s="283" t="s">
        <v>1753</v>
      </c>
      <c r="AE450" s="283" t="s">
        <v>1752</v>
      </c>
      <c r="AF450" s="283" t="str">
        <f t="shared" si="76"/>
        <v>A679078</v>
      </c>
      <c r="AG450" s="283" t="str">
        <f>VLOOKUP(AF450,[2]AKT!$C$4:$E$324,3,FALSE)</f>
        <v>0942</v>
      </c>
    </row>
    <row r="451" spans="1:33">
      <c r="A451" s="290"/>
      <c r="B451" s="288" t="str">
        <f t="shared" si="69"/>
        <v/>
      </c>
      <c r="C451" s="290"/>
      <c r="D451" s="288" t="str">
        <f t="shared" si="70"/>
        <v/>
      </c>
      <c r="E451" s="289"/>
      <c r="F451" s="288" t="str">
        <f t="shared" si="71"/>
        <v/>
      </c>
      <c r="G451" s="288" t="str">
        <f t="shared" si="72"/>
        <v/>
      </c>
      <c r="H451" s="128"/>
      <c r="I451" s="128"/>
      <c r="J451" s="128"/>
      <c r="K451" s="286"/>
      <c r="L451" s="287"/>
      <c r="M451" s="287"/>
      <c r="N451" s="286"/>
      <c r="O451" s="291"/>
      <c r="P451" s="285"/>
      <c r="R451" s="283" t="str">
        <f t="shared" si="73"/>
        <v/>
      </c>
      <c r="S451" s="283" t="str">
        <f t="shared" si="74"/>
        <v/>
      </c>
      <c r="T451" s="283" t="str">
        <f t="shared" si="75"/>
        <v/>
      </c>
      <c r="AD451" s="283" t="s">
        <v>1751</v>
      </c>
      <c r="AE451" s="283" t="s">
        <v>1750</v>
      </c>
      <c r="AF451" s="283" t="str">
        <f t="shared" si="76"/>
        <v>A679078</v>
      </c>
      <c r="AG451" s="283" t="str">
        <f>VLOOKUP(AF451,[2]AKT!$C$4:$E$324,3,FALSE)</f>
        <v>0942</v>
      </c>
    </row>
    <row r="452" spans="1:33">
      <c r="A452" s="290"/>
      <c r="B452" s="288" t="str">
        <f t="shared" si="69"/>
        <v/>
      </c>
      <c r="C452" s="290"/>
      <c r="D452" s="288" t="str">
        <f t="shared" si="70"/>
        <v/>
      </c>
      <c r="E452" s="289"/>
      <c r="F452" s="288" t="str">
        <f t="shared" si="71"/>
        <v/>
      </c>
      <c r="G452" s="288" t="str">
        <f t="shared" si="72"/>
        <v/>
      </c>
      <c r="H452" s="128"/>
      <c r="I452" s="128"/>
      <c r="J452" s="128"/>
      <c r="K452" s="286"/>
      <c r="L452" s="287"/>
      <c r="M452" s="287"/>
      <c r="N452" s="286"/>
      <c r="O452" s="291"/>
      <c r="P452" s="285"/>
      <c r="R452" s="283" t="str">
        <f t="shared" si="73"/>
        <v/>
      </c>
      <c r="S452" s="283" t="str">
        <f t="shared" si="74"/>
        <v/>
      </c>
      <c r="T452" s="283" t="str">
        <f t="shared" si="75"/>
        <v/>
      </c>
      <c r="AD452" s="283" t="s">
        <v>1749</v>
      </c>
      <c r="AE452" s="283" t="s">
        <v>1748</v>
      </c>
      <c r="AF452" s="283" t="str">
        <f t="shared" si="76"/>
        <v>A679078</v>
      </c>
      <c r="AG452" s="283" t="str">
        <f>VLOOKUP(AF452,[2]AKT!$C$4:$E$324,3,FALSE)</f>
        <v>0942</v>
      </c>
    </row>
    <row r="453" spans="1:33">
      <c r="A453" s="290"/>
      <c r="B453" s="288" t="str">
        <f t="shared" si="69"/>
        <v/>
      </c>
      <c r="C453" s="290"/>
      <c r="D453" s="288" t="str">
        <f t="shared" si="70"/>
        <v/>
      </c>
      <c r="E453" s="289"/>
      <c r="F453" s="288" t="str">
        <f t="shared" si="71"/>
        <v/>
      </c>
      <c r="G453" s="288" t="str">
        <f t="shared" si="72"/>
        <v/>
      </c>
      <c r="H453" s="128"/>
      <c r="I453" s="128"/>
      <c r="J453" s="128"/>
      <c r="K453" s="286"/>
      <c r="L453" s="287"/>
      <c r="M453" s="287"/>
      <c r="N453" s="286"/>
      <c r="O453" s="291"/>
      <c r="P453" s="285"/>
      <c r="R453" s="283" t="str">
        <f t="shared" si="73"/>
        <v/>
      </c>
      <c r="S453" s="283" t="str">
        <f t="shared" si="74"/>
        <v/>
      </c>
      <c r="T453" s="283" t="str">
        <f t="shared" si="75"/>
        <v/>
      </c>
      <c r="AD453" s="283" t="s">
        <v>1747</v>
      </c>
      <c r="AE453" s="283" t="s">
        <v>1746</v>
      </c>
      <c r="AF453" s="283" t="str">
        <f t="shared" si="76"/>
        <v>A679078</v>
      </c>
      <c r="AG453" s="283" t="str">
        <f>VLOOKUP(AF453,[2]AKT!$C$4:$E$324,3,FALSE)</f>
        <v>0942</v>
      </c>
    </row>
    <row r="454" spans="1:33">
      <c r="A454" s="290"/>
      <c r="B454" s="288" t="str">
        <f t="shared" si="69"/>
        <v/>
      </c>
      <c r="C454" s="290"/>
      <c r="D454" s="288" t="str">
        <f t="shared" si="70"/>
        <v/>
      </c>
      <c r="E454" s="289"/>
      <c r="F454" s="288" t="str">
        <f t="shared" si="71"/>
        <v/>
      </c>
      <c r="G454" s="288" t="str">
        <f t="shared" si="72"/>
        <v/>
      </c>
      <c r="H454" s="128"/>
      <c r="I454" s="128"/>
      <c r="J454" s="128"/>
      <c r="K454" s="286"/>
      <c r="L454" s="287"/>
      <c r="M454" s="287"/>
      <c r="N454" s="286"/>
      <c r="O454" s="291"/>
      <c r="P454" s="285"/>
      <c r="R454" s="283" t="str">
        <f t="shared" si="73"/>
        <v/>
      </c>
      <c r="S454" s="283" t="str">
        <f t="shared" si="74"/>
        <v/>
      </c>
      <c r="T454" s="283" t="str">
        <f t="shared" si="75"/>
        <v/>
      </c>
      <c r="AD454" s="283" t="s">
        <v>1745</v>
      </c>
      <c r="AE454" s="283" t="s">
        <v>1744</v>
      </c>
      <c r="AF454" s="283" t="str">
        <f t="shared" si="76"/>
        <v>A679078</v>
      </c>
      <c r="AG454" s="283" t="str">
        <f>VLOOKUP(AF454,[2]AKT!$C$4:$E$324,3,FALSE)</f>
        <v>0942</v>
      </c>
    </row>
    <row r="455" spans="1:33">
      <c r="A455" s="290"/>
      <c r="B455" s="288" t="str">
        <f t="shared" si="69"/>
        <v/>
      </c>
      <c r="C455" s="290"/>
      <c r="D455" s="288" t="str">
        <f t="shared" si="70"/>
        <v/>
      </c>
      <c r="E455" s="289"/>
      <c r="F455" s="288" t="str">
        <f t="shared" si="71"/>
        <v/>
      </c>
      <c r="G455" s="288" t="str">
        <f t="shared" si="72"/>
        <v/>
      </c>
      <c r="H455" s="128"/>
      <c r="I455" s="128"/>
      <c r="J455" s="128"/>
      <c r="K455" s="286"/>
      <c r="L455" s="287"/>
      <c r="M455" s="287"/>
      <c r="N455" s="286"/>
      <c r="O455" s="291"/>
      <c r="P455" s="285"/>
      <c r="R455" s="283" t="str">
        <f t="shared" si="73"/>
        <v/>
      </c>
      <c r="S455" s="283" t="str">
        <f t="shared" si="74"/>
        <v/>
      </c>
      <c r="T455" s="283" t="str">
        <f t="shared" si="75"/>
        <v/>
      </c>
      <c r="AD455" s="283" t="s">
        <v>1743</v>
      </c>
      <c r="AE455" s="283" t="s">
        <v>1742</v>
      </c>
      <c r="AF455" s="283" t="str">
        <f t="shared" si="76"/>
        <v>A679078</v>
      </c>
      <c r="AG455" s="283" t="str">
        <f>VLOOKUP(AF455,[2]AKT!$C$4:$E$324,3,FALSE)</f>
        <v>0942</v>
      </c>
    </row>
    <row r="456" spans="1:33">
      <c r="A456" s="290"/>
      <c r="B456" s="288" t="str">
        <f t="shared" si="69"/>
        <v/>
      </c>
      <c r="C456" s="290"/>
      <c r="D456" s="288" t="str">
        <f t="shared" si="70"/>
        <v/>
      </c>
      <c r="E456" s="289"/>
      <c r="F456" s="288" t="str">
        <f t="shared" si="71"/>
        <v/>
      </c>
      <c r="G456" s="288" t="str">
        <f t="shared" si="72"/>
        <v/>
      </c>
      <c r="H456" s="128"/>
      <c r="I456" s="128"/>
      <c r="J456" s="128"/>
      <c r="K456" s="286"/>
      <c r="L456" s="287"/>
      <c r="M456" s="287"/>
      <c r="N456" s="286"/>
      <c r="O456" s="291"/>
      <c r="P456" s="285"/>
      <c r="R456" s="283" t="str">
        <f t="shared" si="73"/>
        <v/>
      </c>
      <c r="S456" s="283" t="str">
        <f t="shared" si="74"/>
        <v/>
      </c>
      <c r="T456" s="283" t="str">
        <f t="shared" si="75"/>
        <v/>
      </c>
      <c r="AD456" s="283" t="s">
        <v>1741</v>
      </c>
      <c r="AE456" s="283" t="s">
        <v>1740</v>
      </c>
      <c r="AF456" s="283" t="str">
        <f t="shared" si="76"/>
        <v>A679078</v>
      </c>
      <c r="AG456" s="283" t="str">
        <f>VLOOKUP(AF456,[2]AKT!$C$4:$E$324,3,FALSE)</f>
        <v>0942</v>
      </c>
    </row>
    <row r="457" spans="1:33">
      <c r="A457" s="290"/>
      <c r="B457" s="288" t="str">
        <f t="shared" si="69"/>
        <v/>
      </c>
      <c r="C457" s="290"/>
      <c r="D457" s="288" t="str">
        <f t="shared" si="70"/>
        <v/>
      </c>
      <c r="E457" s="289"/>
      <c r="F457" s="288" t="str">
        <f t="shared" si="71"/>
        <v/>
      </c>
      <c r="G457" s="288" t="str">
        <f t="shared" si="72"/>
        <v/>
      </c>
      <c r="H457" s="128"/>
      <c r="I457" s="128"/>
      <c r="J457" s="128"/>
      <c r="K457" s="286"/>
      <c r="L457" s="287"/>
      <c r="M457" s="287"/>
      <c r="N457" s="286"/>
      <c r="O457" s="291"/>
      <c r="P457" s="285"/>
      <c r="R457" s="283" t="str">
        <f t="shared" si="73"/>
        <v/>
      </c>
      <c r="S457" s="283" t="str">
        <f t="shared" si="74"/>
        <v/>
      </c>
      <c r="T457" s="283" t="str">
        <f t="shared" si="75"/>
        <v/>
      </c>
      <c r="AD457" s="283" t="s">
        <v>1739</v>
      </c>
      <c r="AE457" s="283" t="s">
        <v>1738</v>
      </c>
      <c r="AF457" s="283" t="str">
        <f t="shared" si="76"/>
        <v>A679078</v>
      </c>
      <c r="AG457" s="283" t="str">
        <f>VLOOKUP(AF457,[2]AKT!$C$4:$E$324,3,FALSE)</f>
        <v>0942</v>
      </c>
    </row>
    <row r="458" spans="1:33">
      <c r="A458" s="290"/>
      <c r="B458" s="288" t="str">
        <f t="shared" ref="B458:B516" si="77">IFERROR(VLOOKUP(A458,$U$6:$V$31,2,FALSE),"")</f>
        <v/>
      </c>
      <c r="C458" s="290"/>
      <c r="D458" s="288" t="str">
        <f t="shared" ref="D458:D516" si="78">IFERROR(VLOOKUP(C458,$X$5:$Z$144,2,FALSE),"")</f>
        <v/>
      </c>
      <c r="E458" s="289"/>
      <c r="F458" s="288" t="str">
        <f t="shared" ref="F458:F516" si="79">IFERROR(VLOOKUP(E458,$AD$6:$AE$1105,2,FALSE),"")</f>
        <v/>
      </c>
      <c r="G458" s="288" t="str">
        <f t="shared" ref="G458:G516" si="80">IFERROR(VLOOKUP(E458,$AD$6:$AG$1105,4,FALSE),"")</f>
        <v/>
      </c>
      <c r="H458" s="128"/>
      <c r="I458" s="128"/>
      <c r="J458" s="128"/>
      <c r="K458" s="286"/>
      <c r="L458" s="287"/>
      <c r="M458" s="287"/>
      <c r="N458" s="286"/>
      <c r="O458" s="291"/>
      <c r="P458" s="285"/>
      <c r="R458" s="283" t="str">
        <f t="shared" si="73"/>
        <v/>
      </c>
      <c r="S458" s="283" t="str">
        <f t="shared" si="74"/>
        <v/>
      </c>
      <c r="T458" s="283" t="str">
        <f t="shared" si="75"/>
        <v/>
      </c>
      <c r="AD458" s="283" t="s">
        <v>1737</v>
      </c>
      <c r="AE458" s="283" t="s">
        <v>1736</v>
      </c>
      <c r="AF458" s="283" t="str">
        <f t="shared" si="76"/>
        <v>A679078</v>
      </c>
      <c r="AG458" s="283" t="str">
        <f>VLOOKUP(AF458,[2]AKT!$C$4:$E$324,3,FALSE)</f>
        <v>0942</v>
      </c>
    </row>
    <row r="459" spans="1:33">
      <c r="A459" s="290"/>
      <c r="B459" s="288" t="str">
        <f t="shared" si="77"/>
        <v/>
      </c>
      <c r="C459" s="290"/>
      <c r="D459" s="288" t="str">
        <f t="shared" si="78"/>
        <v/>
      </c>
      <c r="E459" s="289"/>
      <c r="F459" s="288" t="str">
        <f t="shared" si="79"/>
        <v/>
      </c>
      <c r="G459" s="288" t="str">
        <f t="shared" si="80"/>
        <v/>
      </c>
      <c r="H459" s="128"/>
      <c r="I459" s="128"/>
      <c r="J459" s="128"/>
      <c r="K459" s="286"/>
      <c r="L459" s="287"/>
      <c r="M459" s="287"/>
      <c r="N459" s="286"/>
      <c r="O459" s="291"/>
      <c r="P459" s="285"/>
      <c r="R459" s="283" t="str">
        <f t="shared" si="73"/>
        <v/>
      </c>
      <c r="S459" s="283" t="str">
        <f t="shared" si="74"/>
        <v/>
      </c>
      <c r="T459" s="283" t="str">
        <f t="shared" si="75"/>
        <v/>
      </c>
      <c r="AD459" s="283" t="s">
        <v>1735</v>
      </c>
      <c r="AE459" s="283" t="s">
        <v>1734</v>
      </c>
      <c r="AF459" s="283" t="str">
        <f t="shared" si="76"/>
        <v>A679078</v>
      </c>
      <c r="AG459" s="283" t="str">
        <f>VLOOKUP(AF459,[2]AKT!$C$4:$E$324,3,FALSE)</f>
        <v>0942</v>
      </c>
    </row>
    <row r="460" spans="1:33">
      <c r="A460" s="290"/>
      <c r="B460" s="288" t="str">
        <f t="shared" si="77"/>
        <v/>
      </c>
      <c r="C460" s="290"/>
      <c r="D460" s="288" t="str">
        <f t="shared" si="78"/>
        <v/>
      </c>
      <c r="E460" s="289"/>
      <c r="F460" s="288" t="str">
        <f t="shared" si="79"/>
        <v/>
      </c>
      <c r="G460" s="288" t="str">
        <f t="shared" si="80"/>
        <v/>
      </c>
      <c r="H460" s="128"/>
      <c r="I460" s="128"/>
      <c r="J460" s="128"/>
      <c r="K460" s="286"/>
      <c r="L460" s="287"/>
      <c r="M460" s="287"/>
      <c r="N460" s="286"/>
      <c r="O460" s="291"/>
      <c r="P460" s="285"/>
      <c r="R460" s="283" t="str">
        <f t="shared" si="73"/>
        <v/>
      </c>
      <c r="S460" s="283" t="str">
        <f t="shared" si="74"/>
        <v/>
      </c>
      <c r="T460" s="283" t="str">
        <f t="shared" si="75"/>
        <v/>
      </c>
      <c r="AD460" s="283" t="s">
        <v>1733</v>
      </c>
      <c r="AE460" s="283" t="s">
        <v>1732</v>
      </c>
      <c r="AF460" s="283" t="str">
        <f t="shared" si="76"/>
        <v>A679078</v>
      </c>
      <c r="AG460" s="283" t="str">
        <f>VLOOKUP(AF460,[2]AKT!$C$4:$E$324,3,FALSE)</f>
        <v>0942</v>
      </c>
    </row>
    <row r="461" spans="1:33">
      <c r="A461" s="290"/>
      <c r="B461" s="288" t="str">
        <f t="shared" si="77"/>
        <v/>
      </c>
      <c r="C461" s="290"/>
      <c r="D461" s="288" t="str">
        <f t="shared" si="78"/>
        <v/>
      </c>
      <c r="E461" s="289"/>
      <c r="F461" s="288" t="str">
        <f t="shared" si="79"/>
        <v/>
      </c>
      <c r="G461" s="288" t="str">
        <f t="shared" si="80"/>
        <v/>
      </c>
      <c r="H461" s="128"/>
      <c r="I461" s="128"/>
      <c r="J461" s="128"/>
      <c r="K461" s="286"/>
      <c r="L461" s="287"/>
      <c r="M461" s="287"/>
      <c r="N461" s="286"/>
      <c r="O461" s="291"/>
      <c r="P461" s="285"/>
      <c r="R461" s="283" t="str">
        <f t="shared" si="73"/>
        <v/>
      </c>
      <c r="S461" s="283" t="str">
        <f t="shared" si="74"/>
        <v/>
      </c>
      <c r="T461" s="283" t="str">
        <f t="shared" si="75"/>
        <v/>
      </c>
      <c r="AD461" s="283" t="s">
        <v>1731</v>
      </c>
      <c r="AE461" s="283" t="s">
        <v>1730</v>
      </c>
      <c r="AF461" s="283" t="str">
        <f t="shared" si="76"/>
        <v>A679078</v>
      </c>
      <c r="AG461" s="283" t="str">
        <f>VLOOKUP(AF461,[2]AKT!$C$4:$E$324,3,FALSE)</f>
        <v>0942</v>
      </c>
    </row>
    <row r="462" spans="1:33">
      <c r="A462" s="290"/>
      <c r="B462" s="288" t="str">
        <f t="shared" si="77"/>
        <v/>
      </c>
      <c r="C462" s="290"/>
      <c r="D462" s="288" t="str">
        <f t="shared" si="78"/>
        <v/>
      </c>
      <c r="E462" s="289"/>
      <c r="F462" s="288" t="str">
        <f t="shared" si="79"/>
        <v/>
      </c>
      <c r="G462" s="288" t="str">
        <f t="shared" si="80"/>
        <v/>
      </c>
      <c r="H462" s="128"/>
      <c r="I462" s="128"/>
      <c r="J462" s="128"/>
      <c r="K462" s="286"/>
      <c r="L462" s="287"/>
      <c r="M462" s="287"/>
      <c r="N462" s="286"/>
      <c r="O462" s="291"/>
      <c r="P462" s="285"/>
      <c r="R462" s="283" t="str">
        <f t="shared" si="73"/>
        <v/>
      </c>
      <c r="S462" s="283" t="str">
        <f t="shared" si="74"/>
        <v/>
      </c>
      <c r="T462" s="283" t="str">
        <f t="shared" si="75"/>
        <v/>
      </c>
      <c r="AD462" s="283" t="s">
        <v>1729</v>
      </c>
      <c r="AE462" s="283" t="s">
        <v>1728</v>
      </c>
      <c r="AF462" s="283" t="str">
        <f t="shared" si="76"/>
        <v>A679078</v>
      </c>
      <c r="AG462" s="283" t="str">
        <f>VLOOKUP(AF462,[2]AKT!$C$4:$E$324,3,FALSE)</f>
        <v>0942</v>
      </c>
    </row>
    <row r="463" spans="1:33">
      <c r="A463" s="290"/>
      <c r="B463" s="288" t="str">
        <f t="shared" si="77"/>
        <v/>
      </c>
      <c r="C463" s="290"/>
      <c r="D463" s="288" t="str">
        <f t="shared" si="78"/>
        <v/>
      </c>
      <c r="E463" s="289"/>
      <c r="F463" s="288" t="str">
        <f t="shared" si="79"/>
        <v/>
      </c>
      <c r="G463" s="288" t="str">
        <f t="shared" si="80"/>
        <v/>
      </c>
      <c r="H463" s="128"/>
      <c r="I463" s="128"/>
      <c r="J463" s="128"/>
      <c r="K463" s="286"/>
      <c r="L463" s="287"/>
      <c r="M463" s="287"/>
      <c r="N463" s="286"/>
      <c r="O463" s="291"/>
      <c r="P463" s="285"/>
      <c r="R463" s="283" t="str">
        <f t="shared" si="73"/>
        <v/>
      </c>
      <c r="S463" s="283" t="str">
        <f t="shared" si="74"/>
        <v/>
      </c>
      <c r="T463" s="283" t="str">
        <f t="shared" si="75"/>
        <v/>
      </c>
      <c r="AD463" s="283" t="s">
        <v>1727</v>
      </c>
      <c r="AE463" s="283" t="s">
        <v>1519</v>
      </c>
      <c r="AF463" s="283" t="str">
        <f t="shared" si="76"/>
        <v>A679078</v>
      </c>
      <c r="AG463" s="283" t="str">
        <f>VLOOKUP(AF463,[2]AKT!$C$4:$E$324,3,FALSE)</f>
        <v>0942</v>
      </c>
    </row>
    <row r="464" spans="1:33">
      <c r="A464" s="290"/>
      <c r="B464" s="288" t="str">
        <f t="shared" si="77"/>
        <v/>
      </c>
      <c r="C464" s="290"/>
      <c r="D464" s="288" t="str">
        <f t="shared" si="78"/>
        <v/>
      </c>
      <c r="E464" s="289"/>
      <c r="F464" s="288" t="str">
        <f t="shared" si="79"/>
        <v/>
      </c>
      <c r="G464" s="288" t="str">
        <f t="shared" si="80"/>
        <v/>
      </c>
      <c r="H464" s="128"/>
      <c r="I464" s="128"/>
      <c r="J464" s="128"/>
      <c r="K464" s="286"/>
      <c r="L464" s="287"/>
      <c r="M464" s="287"/>
      <c r="N464" s="286"/>
      <c r="O464" s="291"/>
      <c r="P464" s="285"/>
      <c r="R464" s="283" t="str">
        <f t="shared" si="73"/>
        <v/>
      </c>
      <c r="S464" s="283" t="str">
        <f t="shared" si="74"/>
        <v/>
      </c>
      <c r="T464" s="283" t="str">
        <f t="shared" si="75"/>
        <v/>
      </c>
      <c r="AD464" s="283" t="s">
        <v>1726</v>
      </c>
      <c r="AE464" s="283" t="s">
        <v>1725</v>
      </c>
      <c r="AF464" s="283" t="str">
        <f t="shared" si="76"/>
        <v>A679078</v>
      </c>
      <c r="AG464" s="283" t="str">
        <f>VLOOKUP(AF464,[2]AKT!$C$4:$E$324,3,FALSE)</f>
        <v>0942</v>
      </c>
    </row>
    <row r="465" spans="1:33">
      <c r="A465" s="290"/>
      <c r="B465" s="288" t="str">
        <f t="shared" si="77"/>
        <v/>
      </c>
      <c r="C465" s="290"/>
      <c r="D465" s="288" t="str">
        <f t="shared" si="78"/>
        <v/>
      </c>
      <c r="E465" s="289"/>
      <c r="F465" s="288" t="str">
        <f t="shared" si="79"/>
        <v/>
      </c>
      <c r="G465" s="288" t="str">
        <f t="shared" si="80"/>
        <v/>
      </c>
      <c r="H465" s="128"/>
      <c r="I465" s="128"/>
      <c r="J465" s="128"/>
      <c r="K465" s="286"/>
      <c r="L465" s="287"/>
      <c r="M465" s="287"/>
      <c r="N465" s="286"/>
      <c r="O465" s="291"/>
      <c r="P465" s="285"/>
      <c r="R465" s="283" t="str">
        <f t="shared" si="73"/>
        <v/>
      </c>
      <c r="S465" s="283" t="str">
        <f t="shared" si="74"/>
        <v/>
      </c>
      <c r="T465" s="283" t="str">
        <f t="shared" si="75"/>
        <v/>
      </c>
      <c r="AD465" s="283" t="s">
        <v>1724</v>
      </c>
      <c r="AE465" s="283" t="s">
        <v>1723</v>
      </c>
      <c r="AF465" s="283" t="str">
        <f t="shared" si="76"/>
        <v>A679078</v>
      </c>
      <c r="AG465" s="283" t="str">
        <f>VLOOKUP(AF465,[2]AKT!$C$4:$E$324,3,FALSE)</f>
        <v>0942</v>
      </c>
    </row>
    <row r="466" spans="1:33">
      <c r="A466" s="290"/>
      <c r="B466" s="288" t="str">
        <f t="shared" si="77"/>
        <v/>
      </c>
      <c r="C466" s="290"/>
      <c r="D466" s="288" t="str">
        <f t="shared" si="78"/>
        <v/>
      </c>
      <c r="E466" s="289"/>
      <c r="F466" s="288" t="str">
        <f t="shared" si="79"/>
        <v/>
      </c>
      <c r="G466" s="288" t="str">
        <f t="shared" si="80"/>
        <v/>
      </c>
      <c r="H466" s="128"/>
      <c r="I466" s="128"/>
      <c r="J466" s="128"/>
      <c r="K466" s="286"/>
      <c r="L466" s="287"/>
      <c r="M466" s="287"/>
      <c r="N466" s="286"/>
      <c r="O466" s="291"/>
      <c r="P466" s="285"/>
      <c r="R466" s="283" t="str">
        <f t="shared" si="73"/>
        <v/>
      </c>
      <c r="S466" s="283" t="str">
        <f t="shared" si="74"/>
        <v/>
      </c>
      <c r="T466" s="283" t="str">
        <f t="shared" si="75"/>
        <v/>
      </c>
      <c r="AD466" s="283" t="s">
        <v>1722</v>
      </c>
      <c r="AE466" s="283" t="s">
        <v>1721</v>
      </c>
      <c r="AF466" s="283" t="str">
        <f t="shared" si="76"/>
        <v>A679078</v>
      </c>
      <c r="AG466" s="283" t="str">
        <f>VLOOKUP(AF466,[2]AKT!$C$4:$E$324,3,FALSE)</f>
        <v>0942</v>
      </c>
    </row>
    <row r="467" spans="1:33">
      <c r="A467" s="290"/>
      <c r="B467" s="288" t="str">
        <f t="shared" si="77"/>
        <v/>
      </c>
      <c r="C467" s="290"/>
      <c r="D467" s="288" t="str">
        <f t="shared" si="78"/>
        <v/>
      </c>
      <c r="E467" s="289"/>
      <c r="F467" s="288" t="str">
        <f t="shared" si="79"/>
        <v/>
      </c>
      <c r="G467" s="288" t="str">
        <f t="shared" si="80"/>
        <v/>
      </c>
      <c r="H467" s="128"/>
      <c r="I467" s="128"/>
      <c r="J467" s="128"/>
      <c r="K467" s="286"/>
      <c r="L467" s="287"/>
      <c r="M467" s="287"/>
      <c r="N467" s="286"/>
      <c r="O467" s="291"/>
      <c r="P467" s="285"/>
      <c r="R467" s="283" t="str">
        <f t="shared" si="73"/>
        <v/>
      </c>
      <c r="S467" s="283" t="str">
        <f t="shared" si="74"/>
        <v/>
      </c>
      <c r="T467" s="283" t="str">
        <f t="shared" si="75"/>
        <v/>
      </c>
      <c r="AD467" s="283" t="s">
        <v>1720</v>
      </c>
      <c r="AE467" s="283" t="s">
        <v>1719</v>
      </c>
      <c r="AF467" s="283" t="str">
        <f t="shared" si="76"/>
        <v>A679078</v>
      </c>
      <c r="AG467" s="283" t="str">
        <f>VLOOKUP(AF467,[2]AKT!$C$4:$E$324,3,FALSE)</f>
        <v>0942</v>
      </c>
    </row>
    <row r="468" spans="1:33">
      <c r="A468" s="290"/>
      <c r="B468" s="288" t="str">
        <f t="shared" si="77"/>
        <v/>
      </c>
      <c r="C468" s="290"/>
      <c r="D468" s="288" t="str">
        <f t="shared" si="78"/>
        <v/>
      </c>
      <c r="E468" s="289"/>
      <c r="F468" s="288" t="str">
        <f t="shared" si="79"/>
        <v/>
      </c>
      <c r="G468" s="288" t="str">
        <f t="shared" si="80"/>
        <v/>
      </c>
      <c r="H468" s="128"/>
      <c r="I468" s="128"/>
      <c r="J468" s="128"/>
      <c r="K468" s="286"/>
      <c r="L468" s="287"/>
      <c r="M468" s="287"/>
      <c r="N468" s="286"/>
      <c r="O468" s="291"/>
      <c r="P468" s="285"/>
      <c r="R468" s="283" t="str">
        <f t="shared" si="73"/>
        <v/>
      </c>
      <c r="S468" s="283" t="str">
        <f t="shared" si="74"/>
        <v/>
      </c>
      <c r="T468" s="283" t="str">
        <f t="shared" si="75"/>
        <v/>
      </c>
      <c r="AD468" s="283" t="s">
        <v>1718</v>
      </c>
      <c r="AE468" s="283" t="s">
        <v>1717</v>
      </c>
      <c r="AF468" s="283" t="str">
        <f t="shared" si="76"/>
        <v>A679078</v>
      </c>
      <c r="AG468" s="283" t="str">
        <f>VLOOKUP(AF468,[2]AKT!$C$4:$E$324,3,FALSE)</f>
        <v>0942</v>
      </c>
    </row>
    <row r="469" spans="1:33">
      <c r="A469" s="290"/>
      <c r="B469" s="288" t="str">
        <f t="shared" si="77"/>
        <v/>
      </c>
      <c r="C469" s="290"/>
      <c r="D469" s="288" t="str">
        <f t="shared" si="78"/>
        <v/>
      </c>
      <c r="E469" s="289"/>
      <c r="F469" s="288" t="str">
        <f t="shared" si="79"/>
        <v/>
      </c>
      <c r="G469" s="288" t="str">
        <f t="shared" si="80"/>
        <v/>
      </c>
      <c r="H469" s="128"/>
      <c r="I469" s="128"/>
      <c r="J469" s="128"/>
      <c r="K469" s="286"/>
      <c r="L469" s="287"/>
      <c r="M469" s="287"/>
      <c r="N469" s="286"/>
      <c r="O469" s="291"/>
      <c r="P469" s="285"/>
      <c r="R469" s="283" t="str">
        <f t="shared" si="73"/>
        <v/>
      </c>
      <c r="S469" s="283" t="str">
        <f t="shared" si="74"/>
        <v/>
      </c>
      <c r="T469" s="283" t="str">
        <f t="shared" si="75"/>
        <v/>
      </c>
      <c r="AD469" s="283" t="s">
        <v>1716</v>
      </c>
      <c r="AE469" s="283" t="s">
        <v>1715</v>
      </c>
      <c r="AF469" s="283" t="str">
        <f t="shared" si="76"/>
        <v>A679078</v>
      </c>
      <c r="AG469" s="283" t="str">
        <f>VLOOKUP(AF469,[2]AKT!$C$4:$E$324,3,FALSE)</f>
        <v>0942</v>
      </c>
    </row>
    <row r="470" spans="1:33">
      <c r="A470" s="290"/>
      <c r="B470" s="288" t="str">
        <f t="shared" si="77"/>
        <v/>
      </c>
      <c r="C470" s="290"/>
      <c r="D470" s="288" t="str">
        <f t="shared" si="78"/>
        <v/>
      </c>
      <c r="E470" s="289"/>
      <c r="F470" s="288" t="str">
        <f t="shared" si="79"/>
        <v/>
      </c>
      <c r="G470" s="288" t="str">
        <f t="shared" si="80"/>
        <v/>
      </c>
      <c r="H470" s="128"/>
      <c r="I470" s="128"/>
      <c r="J470" s="128"/>
      <c r="K470" s="286"/>
      <c r="L470" s="287"/>
      <c r="M470" s="287"/>
      <c r="N470" s="286"/>
      <c r="O470" s="291"/>
      <c r="P470" s="285"/>
      <c r="R470" s="283" t="str">
        <f t="shared" si="73"/>
        <v/>
      </c>
      <c r="S470" s="283" t="str">
        <f t="shared" si="74"/>
        <v/>
      </c>
      <c r="T470" s="283" t="str">
        <f t="shared" si="75"/>
        <v/>
      </c>
      <c r="AD470" s="283" t="s">
        <v>1714</v>
      </c>
      <c r="AE470" s="283" t="s">
        <v>1713</v>
      </c>
      <c r="AF470" s="283" t="str">
        <f t="shared" si="76"/>
        <v>A679078</v>
      </c>
      <c r="AG470" s="283" t="str">
        <f>VLOOKUP(AF470,[2]AKT!$C$4:$E$324,3,FALSE)</f>
        <v>0942</v>
      </c>
    </row>
    <row r="471" spans="1:33">
      <c r="A471" s="290"/>
      <c r="B471" s="288" t="str">
        <f t="shared" si="77"/>
        <v/>
      </c>
      <c r="C471" s="290"/>
      <c r="D471" s="288" t="str">
        <f t="shared" si="78"/>
        <v/>
      </c>
      <c r="E471" s="289"/>
      <c r="F471" s="288" t="str">
        <f t="shared" si="79"/>
        <v/>
      </c>
      <c r="G471" s="288" t="str">
        <f t="shared" si="80"/>
        <v/>
      </c>
      <c r="H471" s="128"/>
      <c r="I471" s="128"/>
      <c r="J471" s="128"/>
      <c r="K471" s="286"/>
      <c r="L471" s="287"/>
      <c r="M471" s="287"/>
      <c r="N471" s="286"/>
      <c r="O471" s="291"/>
      <c r="P471" s="285"/>
      <c r="R471" s="283" t="str">
        <f t="shared" si="73"/>
        <v/>
      </c>
      <c r="S471" s="283" t="str">
        <f t="shared" si="74"/>
        <v/>
      </c>
      <c r="T471" s="283" t="str">
        <f t="shared" si="75"/>
        <v/>
      </c>
      <c r="AD471" s="283" t="s">
        <v>1712</v>
      </c>
      <c r="AE471" s="283" t="s">
        <v>1711</v>
      </c>
      <c r="AF471" s="283" t="str">
        <f t="shared" si="76"/>
        <v>A679078</v>
      </c>
      <c r="AG471" s="283" t="str">
        <f>VLOOKUP(AF471,[2]AKT!$C$4:$E$324,3,FALSE)</f>
        <v>0942</v>
      </c>
    </row>
    <row r="472" spans="1:33">
      <c r="A472" s="290"/>
      <c r="B472" s="288" t="str">
        <f t="shared" si="77"/>
        <v/>
      </c>
      <c r="C472" s="290"/>
      <c r="D472" s="288" t="str">
        <f t="shared" si="78"/>
        <v/>
      </c>
      <c r="E472" s="289"/>
      <c r="F472" s="288" t="str">
        <f t="shared" si="79"/>
        <v/>
      </c>
      <c r="G472" s="288" t="str">
        <f t="shared" si="80"/>
        <v/>
      </c>
      <c r="H472" s="128"/>
      <c r="I472" s="128"/>
      <c r="J472" s="128"/>
      <c r="K472" s="286"/>
      <c r="L472" s="287"/>
      <c r="M472" s="287"/>
      <c r="N472" s="286"/>
      <c r="O472" s="291"/>
      <c r="P472" s="285"/>
      <c r="R472" s="283" t="str">
        <f t="shared" si="73"/>
        <v/>
      </c>
      <c r="S472" s="283" t="str">
        <f t="shared" si="74"/>
        <v/>
      </c>
      <c r="T472" s="283" t="str">
        <f t="shared" si="75"/>
        <v/>
      </c>
      <c r="AD472" s="283" t="s">
        <v>1710</v>
      </c>
      <c r="AE472" s="283" t="s">
        <v>1709</v>
      </c>
      <c r="AF472" s="283" t="str">
        <f t="shared" si="76"/>
        <v>A679078</v>
      </c>
      <c r="AG472" s="283" t="str">
        <f>VLOOKUP(AF472,[2]AKT!$C$4:$E$324,3,FALSE)</f>
        <v>0942</v>
      </c>
    </row>
    <row r="473" spans="1:33">
      <c r="A473" s="290"/>
      <c r="B473" s="288" t="str">
        <f t="shared" si="77"/>
        <v/>
      </c>
      <c r="C473" s="290"/>
      <c r="D473" s="288" t="str">
        <f t="shared" si="78"/>
        <v/>
      </c>
      <c r="E473" s="289"/>
      <c r="F473" s="288" t="str">
        <f t="shared" si="79"/>
        <v/>
      </c>
      <c r="G473" s="288" t="str">
        <f t="shared" si="80"/>
        <v/>
      </c>
      <c r="H473" s="128"/>
      <c r="I473" s="128"/>
      <c r="J473" s="128"/>
      <c r="K473" s="286"/>
      <c r="L473" s="287"/>
      <c r="M473" s="287"/>
      <c r="N473" s="286"/>
      <c r="O473" s="291"/>
      <c r="P473" s="285"/>
      <c r="R473" s="283" t="str">
        <f t="shared" si="73"/>
        <v/>
      </c>
      <c r="S473" s="283" t="str">
        <f t="shared" si="74"/>
        <v/>
      </c>
      <c r="T473" s="283" t="str">
        <f t="shared" si="75"/>
        <v/>
      </c>
      <c r="AD473" s="283" t="s">
        <v>1708</v>
      </c>
      <c r="AE473" s="283" t="s">
        <v>1707</v>
      </c>
      <c r="AF473" s="283" t="str">
        <f t="shared" si="76"/>
        <v>A679078</v>
      </c>
      <c r="AG473" s="283" t="str">
        <f>VLOOKUP(AF473,[2]AKT!$C$4:$E$324,3,FALSE)</f>
        <v>0942</v>
      </c>
    </row>
    <row r="474" spans="1:33">
      <c r="A474" s="290"/>
      <c r="B474" s="288" t="str">
        <f t="shared" si="77"/>
        <v/>
      </c>
      <c r="C474" s="290"/>
      <c r="D474" s="288" t="str">
        <f t="shared" si="78"/>
        <v/>
      </c>
      <c r="E474" s="289"/>
      <c r="F474" s="288" t="str">
        <f t="shared" si="79"/>
        <v/>
      </c>
      <c r="G474" s="288" t="str">
        <f t="shared" si="80"/>
        <v/>
      </c>
      <c r="H474" s="128"/>
      <c r="I474" s="128"/>
      <c r="J474" s="128"/>
      <c r="K474" s="286"/>
      <c r="L474" s="287"/>
      <c r="M474" s="287"/>
      <c r="N474" s="286"/>
      <c r="O474" s="291"/>
      <c r="P474" s="285"/>
      <c r="R474" s="283" t="str">
        <f t="shared" si="73"/>
        <v/>
      </c>
      <c r="S474" s="283" t="str">
        <f t="shared" si="74"/>
        <v/>
      </c>
      <c r="T474" s="283" t="str">
        <f t="shared" si="75"/>
        <v/>
      </c>
      <c r="AD474" s="283" t="s">
        <v>1706</v>
      </c>
      <c r="AE474" s="283" t="s">
        <v>1705</v>
      </c>
      <c r="AF474" s="283" t="str">
        <f t="shared" si="76"/>
        <v>A679078</v>
      </c>
      <c r="AG474" s="283" t="str">
        <f>VLOOKUP(AF474,[2]AKT!$C$4:$E$324,3,FALSE)</f>
        <v>0942</v>
      </c>
    </row>
    <row r="475" spans="1:33">
      <c r="A475" s="290"/>
      <c r="B475" s="288" t="str">
        <f t="shared" si="77"/>
        <v/>
      </c>
      <c r="C475" s="290"/>
      <c r="D475" s="288" t="str">
        <f t="shared" si="78"/>
        <v/>
      </c>
      <c r="E475" s="289"/>
      <c r="F475" s="288" t="str">
        <f t="shared" si="79"/>
        <v/>
      </c>
      <c r="G475" s="288" t="str">
        <f t="shared" si="80"/>
        <v/>
      </c>
      <c r="H475" s="128"/>
      <c r="I475" s="128"/>
      <c r="J475" s="128"/>
      <c r="K475" s="286"/>
      <c r="L475" s="287"/>
      <c r="M475" s="287"/>
      <c r="N475" s="286"/>
      <c r="O475" s="291"/>
      <c r="P475" s="285"/>
      <c r="R475" s="283" t="str">
        <f t="shared" si="73"/>
        <v/>
      </c>
      <c r="S475" s="283" t="str">
        <f t="shared" si="74"/>
        <v/>
      </c>
      <c r="T475" s="283" t="str">
        <f t="shared" si="75"/>
        <v/>
      </c>
      <c r="AD475" s="283" t="s">
        <v>1704</v>
      </c>
      <c r="AE475" s="283" t="s">
        <v>1703</v>
      </c>
      <c r="AF475" s="283" t="str">
        <f t="shared" si="76"/>
        <v>A679078</v>
      </c>
      <c r="AG475" s="283" t="str">
        <f>VLOOKUP(AF475,[2]AKT!$C$4:$E$324,3,FALSE)</f>
        <v>0942</v>
      </c>
    </row>
    <row r="476" spans="1:33">
      <c r="A476" s="290"/>
      <c r="B476" s="288" t="str">
        <f t="shared" si="77"/>
        <v/>
      </c>
      <c r="C476" s="290"/>
      <c r="D476" s="288" t="str">
        <f t="shared" si="78"/>
        <v/>
      </c>
      <c r="E476" s="289"/>
      <c r="F476" s="288" t="str">
        <f t="shared" si="79"/>
        <v/>
      </c>
      <c r="G476" s="288" t="str">
        <f t="shared" si="80"/>
        <v/>
      </c>
      <c r="H476" s="128"/>
      <c r="I476" s="128"/>
      <c r="J476" s="128"/>
      <c r="K476" s="286"/>
      <c r="L476" s="287"/>
      <c r="M476" s="287"/>
      <c r="N476" s="286"/>
      <c r="O476" s="291"/>
      <c r="P476" s="285"/>
      <c r="R476" s="283" t="str">
        <f t="shared" si="73"/>
        <v/>
      </c>
      <c r="S476" s="283" t="str">
        <f t="shared" si="74"/>
        <v/>
      </c>
      <c r="T476" s="283" t="str">
        <f t="shared" si="75"/>
        <v/>
      </c>
      <c r="AD476" s="283" t="s">
        <v>1702</v>
      </c>
      <c r="AE476" s="283" t="s">
        <v>1701</v>
      </c>
      <c r="AF476" s="283" t="str">
        <f t="shared" si="76"/>
        <v>A679078</v>
      </c>
      <c r="AG476" s="283" t="str">
        <f>VLOOKUP(AF476,[2]AKT!$C$4:$E$324,3,FALSE)</f>
        <v>0942</v>
      </c>
    </row>
    <row r="477" spans="1:33">
      <c r="A477" s="290"/>
      <c r="B477" s="288" t="str">
        <f t="shared" si="77"/>
        <v/>
      </c>
      <c r="C477" s="290"/>
      <c r="D477" s="288" t="str">
        <f t="shared" si="78"/>
        <v/>
      </c>
      <c r="E477" s="289"/>
      <c r="F477" s="288" t="str">
        <f t="shared" si="79"/>
        <v/>
      </c>
      <c r="G477" s="288" t="str">
        <f t="shared" si="80"/>
        <v/>
      </c>
      <c r="H477" s="128"/>
      <c r="I477" s="128"/>
      <c r="J477" s="128"/>
      <c r="K477" s="286"/>
      <c r="L477" s="287"/>
      <c r="M477" s="287"/>
      <c r="N477" s="286"/>
      <c r="O477" s="291"/>
      <c r="P477" s="285"/>
      <c r="R477" s="283" t="str">
        <f t="shared" si="73"/>
        <v/>
      </c>
      <c r="S477" s="283" t="str">
        <f t="shared" si="74"/>
        <v/>
      </c>
      <c r="T477" s="283" t="str">
        <f t="shared" si="75"/>
        <v/>
      </c>
      <c r="AD477" s="283" t="s">
        <v>1700</v>
      </c>
      <c r="AE477" s="283" t="s">
        <v>1699</v>
      </c>
      <c r="AF477" s="283" t="str">
        <f t="shared" si="76"/>
        <v>A679078</v>
      </c>
      <c r="AG477" s="283" t="str">
        <f>VLOOKUP(AF477,[2]AKT!$C$4:$E$324,3,FALSE)</f>
        <v>0942</v>
      </c>
    </row>
    <row r="478" spans="1:33">
      <c r="A478" s="290"/>
      <c r="B478" s="288" t="str">
        <f t="shared" si="77"/>
        <v/>
      </c>
      <c r="C478" s="290"/>
      <c r="D478" s="288" t="str">
        <f t="shared" si="78"/>
        <v/>
      </c>
      <c r="E478" s="289"/>
      <c r="F478" s="288" t="str">
        <f t="shared" si="79"/>
        <v/>
      </c>
      <c r="G478" s="288" t="str">
        <f t="shared" si="80"/>
        <v/>
      </c>
      <c r="H478" s="128"/>
      <c r="I478" s="128"/>
      <c r="J478" s="128"/>
      <c r="K478" s="286"/>
      <c r="L478" s="287"/>
      <c r="M478" s="287"/>
      <c r="N478" s="286"/>
      <c r="O478" s="291"/>
      <c r="P478" s="285"/>
      <c r="R478" s="283" t="str">
        <f t="shared" si="73"/>
        <v/>
      </c>
      <c r="S478" s="283" t="str">
        <f t="shared" si="74"/>
        <v/>
      </c>
      <c r="T478" s="283" t="str">
        <f t="shared" si="75"/>
        <v/>
      </c>
      <c r="AD478" s="283" t="s">
        <v>1698</v>
      </c>
      <c r="AE478" s="283" t="s">
        <v>1697</v>
      </c>
      <c r="AF478" s="283" t="str">
        <f t="shared" si="76"/>
        <v>A679078</v>
      </c>
      <c r="AG478" s="283" t="str">
        <f>VLOOKUP(AF478,[2]AKT!$C$4:$E$324,3,FALSE)</f>
        <v>0942</v>
      </c>
    </row>
    <row r="479" spans="1:33">
      <c r="A479" s="290"/>
      <c r="B479" s="288" t="str">
        <f t="shared" si="77"/>
        <v/>
      </c>
      <c r="C479" s="290"/>
      <c r="D479" s="288" t="str">
        <f t="shared" si="78"/>
        <v/>
      </c>
      <c r="E479" s="289"/>
      <c r="F479" s="288" t="str">
        <f t="shared" si="79"/>
        <v/>
      </c>
      <c r="G479" s="288" t="str">
        <f t="shared" si="80"/>
        <v/>
      </c>
      <c r="H479" s="128"/>
      <c r="I479" s="128"/>
      <c r="J479" s="128"/>
      <c r="K479" s="286"/>
      <c r="L479" s="287"/>
      <c r="M479" s="287"/>
      <c r="N479" s="286"/>
      <c r="O479" s="291"/>
      <c r="P479" s="285"/>
      <c r="R479" s="283" t="str">
        <f t="shared" si="73"/>
        <v/>
      </c>
      <c r="S479" s="283" t="str">
        <f t="shared" si="74"/>
        <v/>
      </c>
      <c r="T479" s="283" t="str">
        <f t="shared" si="75"/>
        <v/>
      </c>
      <c r="AD479" s="283" t="s">
        <v>1696</v>
      </c>
      <c r="AE479" s="283" t="s">
        <v>1695</v>
      </c>
      <c r="AF479" s="283" t="str">
        <f t="shared" si="76"/>
        <v>A679078</v>
      </c>
      <c r="AG479" s="283" t="str">
        <f>VLOOKUP(AF479,[2]AKT!$C$4:$E$324,3,FALSE)</f>
        <v>0942</v>
      </c>
    </row>
    <row r="480" spans="1:33">
      <c r="A480" s="290"/>
      <c r="B480" s="288" t="str">
        <f t="shared" si="77"/>
        <v/>
      </c>
      <c r="C480" s="290"/>
      <c r="D480" s="288" t="str">
        <f t="shared" si="78"/>
        <v/>
      </c>
      <c r="E480" s="289"/>
      <c r="F480" s="288" t="str">
        <f t="shared" si="79"/>
        <v/>
      </c>
      <c r="G480" s="288" t="str">
        <f t="shared" si="80"/>
        <v/>
      </c>
      <c r="H480" s="128"/>
      <c r="I480" s="128"/>
      <c r="J480" s="128"/>
      <c r="K480" s="286"/>
      <c r="L480" s="287"/>
      <c r="M480" s="287"/>
      <c r="N480" s="286"/>
      <c r="O480" s="291"/>
      <c r="P480" s="285"/>
      <c r="R480" s="283" t="str">
        <f t="shared" si="73"/>
        <v/>
      </c>
      <c r="S480" s="283" t="str">
        <f t="shared" si="74"/>
        <v/>
      </c>
      <c r="T480" s="283" t="str">
        <f t="shared" si="75"/>
        <v/>
      </c>
      <c r="AD480" s="283" t="s">
        <v>1694</v>
      </c>
      <c r="AE480" s="283" t="s">
        <v>1693</v>
      </c>
      <c r="AF480" s="283" t="str">
        <f t="shared" si="76"/>
        <v>A679078</v>
      </c>
      <c r="AG480" s="283" t="str">
        <f>VLOOKUP(AF480,[2]AKT!$C$4:$E$324,3,FALSE)</f>
        <v>0942</v>
      </c>
    </row>
    <row r="481" spans="1:33">
      <c r="A481" s="290"/>
      <c r="B481" s="288" t="str">
        <f t="shared" si="77"/>
        <v/>
      </c>
      <c r="C481" s="290"/>
      <c r="D481" s="288" t="str">
        <f t="shared" si="78"/>
        <v/>
      </c>
      <c r="E481" s="289"/>
      <c r="F481" s="288" t="str">
        <f t="shared" si="79"/>
        <v/>
      </c>
      <c r="G481" s="288" t="str">
        <f t="shared" si="80"/>
        <v/>
      </c>
      <c r="H481" s="128"/>
      <c r="I481" s="128"/>
      <c r="J481" s="128"/>
      <c r="K481" s="286"/>
      <c r="L481" s="287"/>
      <c r="M481" s="287"/>
      <c r="N481" s="286"/>
      <c r="O481" s="291"/>
      <c r="P481" s="285"/>
      <c r="R481" s="283" t="str">
        <f t="shared" si="73"/>
        <v/>
      </c>
      <c r="S481" s="283" t="str">
        <f t="shared" si="74"/>
        <v/>
      </c>
      <c r="T481" s="283" t="str">
        <f t="shared" si="75"/>
        <v/>
      </c>
      <c r="AD481" s="283" t="s">
        <v>1692</v>
      </c>
      <c r="AE481" s="283" t="s">
        <v>1691</v>
      </c>
      <c r="AF481" s="283" t="str">
        <f t="shared" si="76"/>
        <v>A679078</v>
      </c>
      <c r="AG481" s="283" t="str">
        <f>VLOOKUP(AF481,[2]AKT!$C$4:$E$324,3,FALSE)</f>
        <v>0942</v>
      </c>
    </row>
    <row r="482" spans="1:33">
      <c r="A482" s="290"/>
      <c r="B482" s="288" t="str">
        <f t="shared" si="77"/>
        <v/>
      </c>
      <c r="C482" s="290"/>
      <c r="D482" s="288" t="str">
        <f t="shared" si="78"/>
        <v/>
      </c>
      <c r="E482" s="289"/>
      <c r="F482" s="288" t="str">
        <f t="shared" si="79"/>
        <v/>
      </c>
      <c r="G482" s="288" t="str">
        <f t="shared" si="80"/>
        <v/>
      </c>
      <c r="H482" s="128"/>
      <c r="I482" s="128"/>
      <c r="J482" s="128"/>
      <c r="K482" s="286"/>
      <c r="L482" s="287"/>
      <c r="M482" s="287"/>
      <c r="N482" s="286"/>
      <c r="O482" s="286"/>
      <c r="P482" s="285"/>
      <c r="R482" s="283" t="str">
        <f t="shared" si="73"/>
        <v/>
      </c>
      <c r="S482" s="283" t="str">
        <f t="shared" si="74"/>
        <v/>
      </c>
      <c r="T482" s="283" t="str">
        <f t="shared" si="75"/>
        <v/>
      </c>
      <c r="AD482" s="283" t="s">
        <v>1690</v>
      </c>
      <c r="AE482" s="283" t="s">
        <v>1689</v>
      </c>
      <c r="AF482" s="283" t="str">
        <f t="shared" si="76"/>
        <v>A679078</v>
      </c>
      <c r="AG482" s="283" t="str">
        <f>VLOOKUP(AF482,[2]AKT!$C$4:$E$324,3,FALSE)</f>
        <v>0942</v>
      </c>
    </row>
    <row r="483" spans="1:33">
      <c r="A483" s="290"/>
      <c r="B483" s="288" t="str">
        <f t="shared" si="77"/>
        <v/>
      </c>
      <c r="C483" s="290"/>
      <c r="D483" s="288" t="str">
        <f t="shared" si="78"/>
        <v/>
      </c>
      <c r="E483" s="289"/>
      <c r="F483" s="288" t="str">
        <f t="shared" si="79"/>
        <v/>
      </c>
      <c r="G483" s="288" t="str">
        <f t="shared" si="80"/>
        <v/>
      </c>
      <c r="H483" s="128"/>
      <c r="I483" s="128"/>
      <c r="J483" s="128"/>
      <c r="K483" s="286"/>
      <c r="L483" s="287"/>
      <c r="M483" s="287"/>
      <c r="N483" s="286"/>
      <c r="O483" s="286"/>
      <c r="P483" s="285"/>
      <c r="R483" s="283" t="str">
        <f t="shared" si="73"/>
        <v/>
      </c>
      <c r="S483" s="283" t="str">
        <f t="shared" si="74"/>
        <v/>
      </c>
      <c r="T483" s="283" t="str">
        <f t="shared" si="75"/>
        <v/>
      </c>
      <c r="AD483" s="283" t="s">
        <v>1688</v>
      </c>
      <c r="AE483" s="283" t="s">
        <v>1687</v>
      </c>
      <c r="AF483" s="283" t="str">
        <f t="shared" si="76"/>
        <v>A679078</v>
      </c>
      <c r="AG483" s="283" t="str">
        <f>VLOOKUP(AF483,[2]AKT!$C$4:$E$324,3,FALSE)</f>
        <v>0942</v>
      </c>
    </row>
    <row r="484" spans="1:33">
      <c r="A484" s="290"/>
      <c r="B484" s="288" t="str">
        <f t="shared" si="77"/>
        <v/>
      </c>
      <c r="C484" s="290"/>
      <c r="D484" s="288" t="str">
        <f t="shared" si="78"/>
        <v/>
      </c>
      <c r="E484" s="289"/>
      <c r="F484" s="288" t="str">
        <f t="shared" si="79"/>
        <v/>
      </c>
      <c r="G484" s="288" t="str">
        <f t="shared" si="80"/>
        <v/>
      </c>
      <c r="H484" s="128"/>
      <c r="I484" s="128"/>
      <c r="J484" s="128"/>
      <c r="K484" s="286"/>
      <c r="L484" s="287"/>
      <c r="M484" s="287"/>
      <c r="N484" s="286"/>
      <c r="O484" s="286"/>
      <c r="P484" s="285"/>
      <c r="R484" s="283" t="str">
        <f t="shared" si="73"/>
        <v/>
      </c>
      <c r="S484" s="283" t="str">
        <f t="shared" si="74"/>
        <v/>
      </c>
      <c r="T484" s="283" t="str">
        <f t="shared" si="75"/>
        <v/>
      </c>
      <c r="AD484" s="283" t="s">
        <v>1686</v>
      </c>
      <c r="AE484" s="283" t="s">
        <v>1685</v>
      </c>
      <c r="AF484" s="283" t="str">
        <f t="shared" si="76"/>
        <v>A679078</v>
      </c>
      <c r="AG484" s="283" t="str">
        <f>VLOOKUP(AF484,[2]AKT!$C$4:$E$324,3,FALSE)</f>
        <v>0942</v>
      </c>
    </row>
    <row r="485" spans="1:33">
      <c r="A485" s="290"/>
      <c r="B485" s="288" t="str">
        <f t="shared" si="77"/>
        <v/>
      </c>
      <c r="C485" s="290"/>
      <c r="D485" s="288" t="str">
        <f t="shared" si="78"/>
        <v/>
      </c>
      <c r="E485" s="289"/>
      <c r="F485" s="288" t="str">
        <f t="shared" si="79"/>
        <v/>
      </c>
      <c r="G485" s="288" t="str">
        <f t="shared" si="80"/>
        <v/>
      </c>
      <c r="H485" s="128"/>
      <c r="I485" s="128"/>
      <c r="J485" s="128"/>
      <c r="K485" s="286"/>
      <c r="L485" s="287"/>
      <c r="M485" s="287"/>
      <c r="N485" s="286"/>
      <c r="O485" s="286"/>
      <c r="P485" s="285"/>
      <c r="R485" s="283" t="str">
        <f t="shared" si="73"/>
        <v/>
      </c>
      <c r="S485" s="283" t="str">
        <f t="shared" si="74"/>
        <v/>
      </c>
      <c r="T485" s="283" t="str">
        <f t="shared" si="75"/>
        <v/>
      </c>
      <c r="AD485" s="283" t="s">
        <v>1684</v>
      </c>
      <c r="AE485" s="283" t="s">
        <v>1683</v>
      </c>
      <c r="AF485" s="283" t="str">
        <f t="shared" si="76"/>
        <v>A679078</v>
      </c>
      <c r="AG485" s="283" t="str">
        <f>VLOOKUP(AF485,[2]AKT!$C$4:$E$324,3,FALSE)</f>
        <v>0942</v>
      </c>
    </row>
    <row r="486" spans="1:33">
      <c r="A486" s="290"/>
      <c r="B486" s="288" t="str">
        <f t="shared" si="77"/>
        <v/>
      </c>
      <c r="C486" s="290"/>
      <c r="D486" s="288" t="str">
        <f t="shared" si="78"/>
        <v/>
      </c>
      <c r="E486" s="289"/>
      <c r="F486" s="288" t="str">
        <f t="shared" si="79"/>
        <v/>
      </c>
      <c r="G486" s="288" t="str">
        <f t="shared" si="80"/>
        <v/>
      </c>
      <c r="H486" s="128"/>
      <c r="I486" s="128"/>
      <c r="J486" s="128"/>
      <c r="K486" s="286"/>
      <c r="L486" s="287"/>
      <c r="M486" s="287"/>
      <c r="N486" s="286"/>
      <c r="O486" s="286"/>
      <c r="P486" s="285"/>
      <c r="R486" s="283" t="str">
        <f t="shared" si="73"/>
        <v/>
      </c>
      <c r="S486" s="283" t="str">
        <f t="shared" si="74"/>
        <v/>
      </c>
      <c r="T486" s="283" t="str">
        <f t="shared" si="75"/>
        <v/>
      </c>
      <c r="AD486" s="283" t="s">
        <v>1682</v>
      </c>
      <c r="AE486" s="283" t="s">
        <v>1681</v>
      </c>
      <c r="AF486" s="283" t="str">
        <f t="shared" si="76"/>
        <v>A679078</v>
      </c>
      <c r="AG486" s="283" t="str">
        <f>VLOOKUP(AF486,[2]AKT!$C$4:$E$324,3,FALSE)</f>
        <v>0942</v>
      </c>
    </row>
    <row r="487" spans="1:33">
      <c r="A487" s="290"/>
      <c r="B487" s="288" t="str">
        <f t="shared" si="77"/>
        <v/>
      </c>
      <c r="C487" s="290"/>
      <c r="D487" s="288" t="str">
        <f t="shared" si="78"/>
        <v/>
      </c>
      <c r="E487" s="289"/>
      <c r="F487" s="288" t="str">
        <f t="shared" si="79"/>
        <v/>
      </c>
      <c r="G487" s="288" t="str">
        <f t="shared" si="80"/>
        <v/>
      </c>
      <c r="H487" s="128"/>
      <c r="I487" s="128"/>
      <c r="J487" s="128"/>
      <c r="K487" s="286"/>
      <c r="L487" s="287"/>
      <c r="M487" s="287"/>
      <c r="N487" s="286"/>
      <c r="O487" s="286"/>
      <c r="P487" s="285"/>
      <c r="R487" s="283" t="str">
        <f t="shared" si="73"/>
        <v/>
      </c>
      <c r="S487" s="283" t="str">
        <f t="shared" si="74"/>
        <v/>
      </c>
      <c r="T487" s="283" t="str">
        <f t="shared" si="75"/>
        <v/>
      </c>
      <c r="AD487" s="283" t="s">
        <v>1680</v>
      </c>
      <c r="AE487" s="283" t="s">
        <v>1679</v>
      </c>
      <c r="AF487" s="283" t="str">
        <f t="shared" si="76"/>
        <v>A679078</v>
      </c>
      <c r="AG487" s="283" t="str">
        <f>VLOOKUP(AF487,[2]AKT!$C$4:$E$324,3,FALSE)</f>
        <v>0942</v>
      </c>
    </row>
    <row r="488" spans="1:33">
      <c r="A488" s="290"/>
      <c r="B488" s="288" t="str">
        <f t="shared" si="77"/>
        <v/>
      </c>
      <c r="C488" s="290"/>
      <c r="D488" s="288" t="str">
        <f t="shared" si="78"/>
        <v/>
      </c>
      <c r="E488" s="289"/>
      <c r="F488" s="288" t="str">
        <f t="shared" si="79"/>
        <v/>
      </c>
      <c r="G488" s="288" t="str">
        <f t="shared" si="80"/>
        <v/>
      </c>
      <c r="H488" s="128"/>
      <c r="I488" s="128"/>
      <c r="J488" s="128"/>
      <c r="K488" s="286"/>
      <c r="L488" s="287"/>
      <c r="M488" s="287"/>
      <c r="N488" s="286"/>
      <c r="O488" s="286"/>
      <c r="P488" s="285"/>
      <c r="R488" s="283" t="str">
        <f t="shared" si="73"/>
        <v/>
      </c>
      <c r="S488" s="283" t="str">
        <f t="shared" si="74"/>
        <v/>
      </c>
      <c r="T488" s="283" t="str">
        <f t="shared" si="75"/>
        <v/>
      </c>
      <c r="AD488" s="283" t="s">
        <v>1678</v>
      </c>
      <c r="AE488" s="283" t="s">
        <v>1677</v>
      </c>
      <c r="AF488" s="283" t="str">
        <f t="shared" si="76"/>
        <v>A679078</v>
      </c>
      <c r="AG488" s="283" t="str">
        <f>VLOOKUP(AF488,[2]AKT!$C$4:$E$324,3,FALSE)</f>
        <v>0942</v>
      </c>
    </row>
    <row r="489" spans="1:33">
      <c r="A489" s="290"/>
      <c r="B489" s="288" t="str">
        <f t="shared" si="77"/>
        <v/>
      </c>
      <c r="C489" s="290"/>
      <c r="D489" s="288" t="str">
        <f t="shared" si="78"/>
        <v/>
      </c>
      <c r="E489" s="289"/>
      <c r="F489" s="288" t="str">
        <f t="shared" si="79"/>
        <v/>
      </c>
      <c r="G489" s="288" t="str">
        <f t="shared" si="80"/>
        <v/>
      </c>
      <c r="H489" s="128"/>
      <c r="I489" s="128"/>
      <c r="J489" s="128"/>
      <c r="K489" s="286"/>
      <c r="L489" s="287"/>
      <c r="M489" s="287"/>
      <c r="N489" s="286"/>
      <c r="O489" s="286"/>
      <c r="P489" s="285"/>
      <c r="R489" s="283" t="str">
        <f t="shared" si="73"/>
        <v/>
      </c>
      <c r="S489" s="283" t="str">
        <f t="shared" si="74"/>
        <v/>
      </c>
      <c r="T489" s="283" t="str">
        <f t="shared" si="75"/>
        <v/>
      </c>
      <c r="AD489" s="283" t="s">
        <v>1676</v>
      </c>
      <c r="AE489" s="283" t="s">
        <v>1675</v>
      </c>
      <c r="AF489" s="283" t="str">
        <f t="shared" si="76"/>
        <v>A679078</v>
      </c>
      <c r="AG489" s="283" t="str">
        <f>VLOOKUP(AF489,[2]AKT!$C$4:$E$324,3,FALSE)</f>
        <v>0942</v>
      </c>
    </row>
    <row r="490" spans="1:33">
      <c r="A490" s="290"/>
      <c r="B490" s="288" t="str">
        <f t="shared" si="77"/>
        <v/>
      </c>
      <c r="C490" s="290"/>
      <c r="D490" s="288" t="str">
        <f t="shared" si="78"/>
        <v/>
      </c>
      <c r="E490" s="289"/>
      <c r="F490" s="288" t="str">
        <f t="shared" si="79"/>
        <v/>
      </c>
      <c r="G490" s="288" t="str">
        <f t="shared" si="80"/>
        <v/>
      </c>
      <c r="H490" s="128"/>
      <c r="I490" s="128"/>
      <c r="J490" s="128"/>
      <c r="K490" s="286"/>
      <c r="L490" s="287"/>
      <c r="M490" s="287"/>
      <c r="N490" s="286"/>
      <c r="O490" s="286"/>
      <c r="P490" s="285"/>
      <c r="R490" s="283" t="str">
        <f t="shared" si="73"/>
        <v/>
      </c>
      <c r="S490" s="283" t="str">
        <f t="shared" si="74"/>
        <v/>
      </c>
      <c r="T490" s="283" t="str">
        <f t="shared" si="75"/>
        <v/>
      </c>
      <c r="AD490" s="283" t="s">
        <v>1674</v>
      </c>
      <c r="AE490" s="283" t="s">
        <v>1673</v>
      </c>
      <c r="AF490" s="283" t="str">
        <f t="shared" si="76"/>
        <v>A679078</v>
      </c>
      <c r="AG490" s="283" t="str">
        <f>VLOOKUP(AF490,[2]AKT!$C$4:$E$324,3,FALSE)</f>
        <v>0942</v>
      </c>
    </row>
    <row r="491" spans="1:33">
      <c r="A491" s="290"/>
      <c r="B491" s="288" t="str">
        <f t="shared" si="77"/>
        <v/>
      </c>
      <c r="C491" s="290"/>
      <c r="D491" s="288" t="str">
        <f t="shared" si="78"/>
        <v/>
      </c>
      <c r="E491" s="289"/>
      <c r="F491" s="288" t="str">
        <f t="shared" si="79"/>
        <v/>
      </c>
      <c r="G491" s="288" t="str">
        <f t="shared" si="80"/>
        <v/>
      </c>
      <c r="H491" s="128"/>
      <c r="I491" s="128"/>
      <c r="J491" s="128"/>
      <c r="K491" s="286"/>
      <c r="L491" s="287"/>
      <c r="M491" s="287"/>
      <c r="N491" s="286"/>
      <c r="O491" s="286"/>
      <c r="P491" s="285"/>
      <c r="R491" s="283" t="str">
        <f t="shared" si="73"/>
        <v/>
      </c>
      <c r="S491" s="283" t="str">
        <f t="shared" si="74"/>
        <v/>
      </c>
      <c r="T491" s="283" t="str">
        <f t="shared" si="75"/>
        <v/>
      </c>
      <c r="AD491" s="283" t="s">
        <v>1672</v>
      </c>
      <c r="AE491" s="283" t="s">
        <v>1671</v>
      </c>
      <c r="AF491" s="283" t="str">
        <f t="shared" si="76"/>
        <v>A679078</v>
      </c>
      <c r="AG491" s="283" t="str">
        <f>VLOOKUP(AF491,[2]AKT!$C$4:$E$324,3,FALSE)</f>
        <v>0942</v>
      </c>
    </row>
    <row r="492" spans="1:33">
      <c r="A492" s="290"/>
      <c r="B492" s="288" t="str">
        <f t="shared" si="77"/>
        <v/>
      </c>
      <c r="C492" s="290"/>
      <c r="D492" s="288" t="str">
        <f t="shared" si="78"/>
        <v/>
      </c>
      <c r="E492" s="289"/>
      <c r="F492" s="288" t="str">
        <f t="shared" si="79"/>
        <v/>
      </c>
      <c r="G492" s="288" t="str">
        <f t="shared" si="80"/>
        <v/>
      </c>
      <c r="H492" s="128"/>
      <c r="I492" s="128"/>
      <c r="J492" s="128"/>
      <c r="K492" s="286"/>
      <c r="L492" s="287"/>
      <c r="M492" s="287"/>
      <c r="N492" s="286"/>
      <c r="O492" s="286"/>
      <c r="P492" s="285"/>
      <c r="R492" s="283" t="str">
        <f t="shared" si="73"/>
        <v/>
      </c>
      <c r="S492" s="283" t="str">
        <f t="shared" si="74"/>
        <v/>
      </c>
      <c r="T492" s="283" t="str">
        <f t="shared" si="75"/>
        <v/>
      </c>
      <c r="AD492" s="283" t="s">
        <v>1670</v>
      </c>
      <c r="AE492" s="283" t="s">
        <v>1669</v>
      </c>
      <c r="AF492" s="283" t="str">
        <f t="shared" si="76"/>
        <v>A679078</v>
      </c>
      <c r="AG492" s="283" t="str">
        <f>VLOOKUP(AF492,[2]AKT!$C$4:$E$324,3,FALSE)</f>
        <v>0942</v>
      </c>
    </row>
    <row r="493" spans="1:33">
      <c r="A493" s="290"/>
      <c r="B493" s="288" t="str">
        <f t="shared" si="77"/>
        <v/>
      </c>
      <c r="C493" s="290"/>
      <c r="D493" s="288" t="str">
        <f t="shared" si="78"/>
        <v/>
      </c>
      <c r="E493" s="289"/>
      <c r="F493" s="288" t="str">
        <f t="shared" si="79"/>
        <v/>
      </c>
      <c r="G493" s="288" t="str">
        <f t="shared" si="80"/>
        <v/>
      </c>
      <c r="H493" s="128"/>
      <c r="I493" s="128"/>
      <c r="J493" s="128"/>
      <c r="K493" s="286"/>
      <c r="L493" s="287"/>
      <c r="M493" s="287"/>
      <c r="N493" s="286"/>
      <c r="O493" s="286"/>
      <c r="P493" s="285"/>
      <c r="R493" s="283" t="str">
        <f t="shared" si="73"/>
        <v/>
      </c>
      <c r="S493" s="283" t="str">
        <f t="shared" si="74"/>
        <v/>
      </c>
      <c r="T493" s="283" t="str">
        <f t="shared" si="75"/>
        <v/>
      </c>
      <c r="AD493" s="283" t="s">
        <v>1668</v>
      </c>
      <c r="AE493" s="283" t="s">
        <v>1667</v>
      </c>
      <c r="AF493" s="283" t="str">
        <f t="shared" si="76"/>
        <v>A679078</v>
      </c>
      <c r="AG493" s="283" t="str">
        <f>VLOOKUP(AF493,[2]AKT!$C$4:$E$324,3,FALSE)</f>
        <v>0942</v>
      </c>
    </row>
    <row r="494" spans="1:33">
      <c r="A494" s="290"/>
      <c r="B494" s="288" t="str">
        <f t="shared" si="77"/>
        <v/>
      </c>
      <c r="C494" s="290"/>
      <c r="D494" s="288" t="str">
        <f t="shared" si="78"/>
        <v/>
      </c>
      <c r="E494" s="289"/>
      <c r="F494" s="288" t="str">
        <f t="shared" si="79"/>
        <v/>
      </c>
      <c r="G494" s="288" t="str">
        <f t="shared" si="80"/>
        <v/>
      </c>
      <c r="H494" s="128"/>
      <c r="I494" s="128"/>
      <c r="J494" s="128"/>
      <c r="K494" s="286"/>
      <c r="L494" s="287"/>
      <c r="M494" s="287"/>
      <c r="N494" s="286"/>
      <c r="O494" s="286"/>
      <c r="P494" s="285"/>
      <c r="R494" s="283" t="str">
        <f t="shared" si="73"/>
        <v/>
      </c>
      <c r="S494" s="283" t="str">
        <f t="shared" si="74"/>
        <v/>
      </c>
      <c r="T494" s="283" t="str">
        <f t="shared" si="75"/>
        <v/>
      </c>
      <c r="AD494" s="283" t="s">
        <v>1666</v>
      </c>
      <c r="AE494" s="283" t="s">
        <v>1665</v>
      </c>
      <c r="AF494" s="283" t="str">
        <f t="shared" si="76"/>
        <v>A679078</v>
      </c>
      <c r="AG494" s="283" t="str">
        <f>VLOOKUP(AF494,[2]AKT!$C$4:$E$324,3,FALSE)</f>
        <v>0942</v>
      </c>
    </row>
    <row r="495" spans="1:33">
      <c r="A495" s="290"/>
      <c r="B495" s="288" t="str">
        <f t="shared" si="77"/>
        <v/>
      </c>
      <c r="C495" s="290"/>
      <c r="D495" s="288" t="str">
        <f t="shared" si="78"/>
        <v/>
      </c>
      <c r="E495" s="289"/>
      <c r="F495" s="288" t="str">
        <f t="shared" si="79"/>
        <v/>
      </c>
      <c r="G495" s="288" t="str">
        <f t="shared" si="80"/>
        <v/>
      </c>
      <c r="H495" s="128"/>
      <c r="I495" s="128"/>
      <c r="J495" s="128"/>
      <c r="K495" s="286"/>
      <c r="L495" s="287"/>
      <c r="M495" s="287"/>
      <c r="N495" s="286"/>
      <c r="O495" s="286"/>
      <c r="P495" s="285"/>
      <c r="R495" s="283" t="str">
        <f t="shared" si="73"/>
        <v/>
      </c>
      <c r="S495" s="283" t="str">
        <f t="shared" si="74"/>
        <v/>
      </c>
      <c r="T495" s="283" t="str">
        <f t="shared" si="75"/>
        <v/>
      </c>
      <c r="AD495" s="283" t="s">
        <v>1664</v>
      </c>
      <c r="AE495" s="283" t="s">
        <v>1663</v>
      </c>
      <c r="AF495" s="283" t="str">
        <f t="shared" si="76"/>
        <v>A679078</v>
      </c>
      <c r="AG495" s="283" t="str">
        <f>VLOOKUP(AF495,[2]AKT!$C$4:$E$324,3,FALSE)</f>
        <v>0942</v>
      </c>
    </row>
    <row r="496" spans="1:33">
      <c r="A496" s="290"/>
      <c r="B496" s="288" t="str">
        <f t="shared" si="77"/>
        <v/>
      </c>
      <c r="C496" s="290"/>
      <c r="D496" s="288" t="str">
        <f t="shared" si="78"/>
        <v/>
      </c>
      <c r="E496" s="289"/>
      <c r="F496" s="288" t="str">
        <f t="shared" si="79"/>
        <v/>
      </c>
      <c r="G496" s="288" t="str">
        <f t="shared" si="80"/>
        <v/>
      </c>
      <c r="H496" s="128"/>
      <c r="I496" s="128"/>
      <c r="J496" s="128"/>
      <c r="K496" s="286"/>
      <c r="L496" s="287"/>
      <c r="M496" s="287"/>
      <c r="N496" s="286"/>
      <c r="O496" s="286"/>
      <c r="P496" s="285"/>
      <c r="R496" s="283" t="str">
        <f t="shared" si="73"/>
        <v/>
      </c>
      <c r="S496" s="283" t="str">
        <f t="shared" si="74"/>
        <v/>
      </c>
      <c r="T496" s="283" t="str">
        <f t="shared" si="75"/>
        <v/>
      </c>
      <c r="AD496" s="283" t="s">
        <v>1662</v>
      </c>
      <c r="AE496" s="283" t="s">
        <v>1661</v>
      </c>
      <c r="AF496" s="283" t="str">
        <f t="shared" si="76"/>
        <v>A679078</v>
      </c>
      <c r="AG496" s="283" t="str">
        <f>VLOOKUP(AF496,[2]AKT!$C$4:$E$324,3,FALSE)</f>
        <v>0942</v>
      </c>
    </row>
    <row r="497" spans="1:33">
      <c r="A497" s="290"/>
      <c r="B497" s="288" t="str">
        <f t="shared" si="77"/>
        <v/>
      </c>
      <c r="C497" s="290"/>
      <c r="D497" s="288" t="str">
        <f t="shared" si="78"/>
        <v/>
      </c>
      <c r="E497" s="289"/>
      <c r="F497" s="288" t="str">
        <f t="shared" si="79"/>
        <v/>
      </c>
      <c r="G497" s="288" t="str">
        <f t="shared" si="80"/>
        <v/>
      </c>
      <c r="H497" s="128"/>
      <c r="I497" s="128"/>
      <c r="J497" s="128"/>
      <c r="K497" s="286"/>
      <c r="L497" s="287"/>
      <c r="M497" s="287"/>
      <c r="N497" s="286"/>
      <c r="O497" s="286"/>
      <c r="P497" s="285"/>
      <c r="R497" s="283" t="str">
        <f t="shared" si="73"/>
        <v/>
      </c>
      <c r="S497" s="283" t="str">
        <f t="shared" si="74"/>
        <v/>
      </c>
      <c r="T497" s="283" t="str">
        <f t="shared" si="75"/>
        <v/>
      </c>
      <c r="AD497" s="283" t="s">
        <v>1660</v>
      </c>
      <c r="AE497" s="283" t="s">
        <v>1659</v>
      </c>
      <c r="AF497" s="283" t="str">
        <f t="shared" si="76"/>
        <v>A679078</v>
      </c>
      <c r="AG497" s="283" t="str">
        <f>VLOOKUP(AF497,[2]AKT!$C$4:$E$324,3,FALSE)</f>
        <v>0942</v>
      </c>
    </row>
    <row r="498" spans="1:33">
      <c r="A498" s="290"/>
      <c r="B498" s="288" t="str">
        <f t="shared" si="77"/>
        <v/>
      </c>
      <c r="C498" s="290"/>
      <c r="D498" s="288" t="str">
        <f t="shared" si="78"/>
        <v/>
      </c>
      <c r="E498" s="289"/>
      <c r="F498" s="288" t="str">
        <f t="shared" si="79"/>
        <v/>
      </c>
      <c r="G498" s="288" t="str">
        <f t="shared" si="80"/>
        <v/>
      </c>
      <c r="H498" s="128"/>
      <c r="I498" s="128"/>
      <c r="J498" s="128"/>
      <c r="K498" s="286"/>
      <c r="L498" s="287"/>
      <c r="M498" s="287"/>
      <c r="N498" s="286"/>
      <c r="O498" s="286"/>
      <c r="P498" s="285"/>
      <c r="R498" s="283" t="str">
        <f t="shared" si="73"/>
        <v/>
      </c>
      <c r="S498" s="283" t="str">
        <f t="shared" si="74"/>
        <v/>
      </c>
      <c r="T498" s="283" t="str">
        <f t="shared" si="75"/>
        <v/>
      </c>
      <c r="AD498" s="283" t="s">
        <v>1658</v>
      </c>
      <c r="AE498" s="283" t="s">
        <v>1657</v>
      </c>
      <c r="AF498" s="283" t="str">
        <f t="shared" si="76"/>
        <v>A679078</v>
      </c>
      <c r="AG498" s="283" t="str">
        <f>VLOOKUP(AF498,[2]AKT!$C$4:$E$324,3,FALSE)</f>
        <v>0942</v>
      </c>
    </row>
    <row r="499" spans="1:33">
      <c r="A499" s="290"/>
      <c r="B499" s="288" t="str">
        <f t="shared" si="77"/>
        <v/>
      </c>
      <c r="C499" s="290"/>
      <c r="D499" s="288" t="str">
        <f t="shared" si="78"/>
        <v/>
      </c>
      <c r="E499" s="289"/>
      <c r="F499" s="288" t="str">
        <f t="shared" si="79"/>
        <v/>
      </c>
      <c r="G499" s="288" t="str">
        <f t="shared" si="80"/>
        <v/>
      </c>
      <c r="H499" s="128"/>
      <c r="I499" s="128"/>
      <c r="J499" s="128"/>
      <c r="K499" s="286"/>
      <c r="L499" s="287"/>
      <c r="M499" s="287"/>
      <c r="N499" s="286"/>
      <c r="O499" s="286"/>
      <c r="P499" s="285"/>
      <c r="R499" s="283" t="str">
        <f t="shared" si="73"/>
        <v/>
      </c>
      <c r="S499" s="283" t="str">
        <f t="shared" si="74"/>
        <v/>
      </c>
      <c r="T499" s="283" t="str">
        <f t="shared" si="75"/>
        <v/>
      </c>
      <c r="AD499" s="283" t="s">
        <v>1656</v>
      </c>
      <c r="AE499" s="283" t="s">
        <v>1655</v>
      </c>
      <c r="AF499" s="283" t="str">
        <f t="shared" si="76"/>
        <v>A679078</v>
      </c>
      <c r="AG499" s="283" t="str">
        <f>VLOOKUP(AF499,[2]AKT!$C$4:$E$324,3,FALSE)</f>
        <v>0942</v>
      </c>
    </row>
    <row r="500" spans="1:33">
      <c r="A500" s="290"/>
      <c r="B500" s="288" t="str">
        <f t="shared" si="77"/>
        <v/>
      </c>
      <c r="C500" s="290"/>
      <c r="D500" s="288" t="str">
        <f t="shared" si="78"/>
        <v/>
      </c>
      <c r="E500" s="289"/>
      <c r="F500" s="288" t="str">
        <f t="shared" si="79"/>
        <v/>
      </c>
      <c r="G500" s="288" t="str">
        <f t="shared" si="80"/>
        <v/>
      </c>
      <c r="H500" s="128"/>
      <c r="I500" s="128"/>
      <c r="J500" s="128"/>
      <c r="K500" s="286"/>
      <c r="L500" s="287"/>
      <c r="M500" s="287"/>
      <c r="N500" s="286"/>
      <c r="O500" s="286"/>
      <c r="P500" s="285"/>
      <c r="R500" s="283" t="str">
        <f t="shared" si="73"/>
        <v/>
      </c>
      <c r="S500" s="283" t="str">
        <f t="shared" si="74"/>
        <v/>
      </c>
      <c r="T500" s="283" t="str">
        <f t="shared" si="75"/>
        <v/>
      </c>
      <c r="AD500" s="283" t="s">
        <v>1654</v>
      </c>
      <c r="AE500" s="283" t="s">
        <v>1653</v>
      </c>
      <c r="AF500" s="283" t="str">
        <f t="shared" si="76"/>
        <v>A679078</v>
      </c>
      <c r="AG500" s="283" t="str">
        <f>VLOOKUP(AF500,[2]AKT!$C$4:$E$324,3,FALSE)</f>
        <v>0942</v>
      </c>
    </row>
    <row r="501" spans="1:33">
      <c r="A501" s="290"/>
      <c r="B501" s="288" t="str">
        <f t="shared" si="77"/>
        <v/>
      </c>
      <c r="C501" s="290"/>
      <c r="D501" s="288" t="str">
        <f t="shared" si="78"/>
        <v/>
      </c>
      <c r="E501" s="289"/>
      <c r="F501" s="288" t="str">
        <f t="shared" si="79"/>
        <v/>
      </c>
      <c r="G501" s="288" t="str">
        <f t="shared" si="80"/>
        <v/>
      </c>
      <c r="H501" s="128"/>
      <c r="I501" s="128"/>
      <c r="J501" s="128"/>
      <c r="K501" s="286"/>
      <c r="L501" s="287"/>
      <c r="M501" s="287"/>
      <c r="N501" s="286"/>
      <c r="O501" s="286"/>
      <c r="P501" s="285"/>
      <c r="R501" s="283" t="str">
        <f t="shared" si="73"/>
        <v/>
      </c>
      <c r="S501" s="283" t="str">
        <f t="shared" si="74"/>
        <v/>
      </c>
      <c r="T501" s="283" t="str">
        <f t="shared" si="75"/>
        <v/>
      </c>
      <c r="AD501" s="283" t="s">
        <v>1652</v>
      </c>
      <c r="AE501" s="283" t="s">
        <v>1651</v>
      </c>
      <c r="AF501" s="283" t="str">
        <f t="shared" si="76"/>
        <v>A679078</v>
      </c>
      <c r="AG501" s="283" t="str">
        <f>VLOOKUP(AF501,[2]AKT!$C$4:$E$324,3,FALSE)</f>
        <v>0942</v>
      </c>
    </row>
    <row r="502" spans="1:33">
      <c r="A502" s="290"/>
      <c r="B502" s="288" t="str">
        <f t="shared" si="77"/>
        <v/>
      </c>
      <c r="C502" s="290"/>
      <c r="D502" s="288" t="str">
        <f t="shared" si="78"/>
        <v/>
      </c>
      <c r="E502" s="289"/>
      <c r="F502" s="288" t="str">
        <f t="shared" si="79"/>
        <v/>
      </c>
      <c r="G502" s="288" t="str">
        <f t="shared" si="80"/>
        <v/>
      </c>
      <c r="H502" s="128"/>
      <c r="I502" s="128"/>
      <c r="J502" s="128"/>
      <c r="K502" s="286"/>
      <c r="L502" s="287"/>
      <c r="M502" s="287"/>
      <c r="N502" s="286"/>
      <c r="O502" s="286"/>
      <c r="P502" s="285"/>
      <c r="R502" s="283" t="str">
        <f t="shared" si="73"/>
        <v/>
      </c>
      <c r="S502" s="283" t="str">
        <f t="shared" si="74"/>
        <v/>
      </c>
      <c r="T502" s="283" t="str">
        <f t="shared" si="75"/>
        <v/>
      </c>
      <c r="AD502" s="283" t="s">
        <v>1650</v>
      </c>
      <c r="AE502" s="283" t="s">
        <v>1649</v>
      </c>
      <c r="AF502" s="283" t="str">
        <f t="shared" si="76"/>
        <v>A679078</v>
      </c>
      <c r="AG502" s="283" t="str">
        <f>VLOOKUP(AF502,[2]AKT!$C$4:$E$324,3,FALSE)</f>
        <v>0942</v>
      </c>
    </row>
    <row r="503" spans="1:33">
      <c r="A503" s="290"/>
      <c r="B503" s="288" t="str">
        <f t="shared" si="77"/>
        <v/>
      </c>
      <c r="C503" s="290"/>
      <c r="D503" s="288" t="str">
        <f t="shared" si="78"/>
        <v/>
      </c>
      <c r="E503" s="289"/>
      <c r="F503" s="288" t="str">
        <f t="shared" si="79"/>
        <v/>
      </c>
      <c r="G503" s="288" t="str">
        <f t="shared" si="80"/>
        <v/>
      </c>
      <c r="H503" s="128"/>
      <c r="I503" s="128"/>
      <c r="J503" s="128"/>
      <c r="K503" s="286"/>
      <c r="L503" s="287"/>
      <c r="M503" s="287"/>
      <c r="N503" s="286"/>
      <c r="O503" s="286"/>
      <c r="P503" s="285"/>
      <c r="R503" s="283" t="str">
        <f t="shared" si="73"/>
        <v/>
      </c>
      <c r="S503" s="283" t="str">
        <f t="shared" si="74"/>
        <v/>
      </c>
      <c r="T503" s="283" t="str">
        <f t="shared" si="75"/>
        <v/>
      </c>
      <c r="AD503" s="283" t="s">
        <v>1648</v>
      </c>
      <c r="AE503" s="283" t="s">
        <v>1647</v>
      </c>
      <c r="AF503" s="283" t="str">
        <f t="shared" si="76"/>
        <v>A679078</v>
      </c>
      <c r="AG503" s="283" t="str">
        <f>VLOOKUP(AF503,[2]AKT!$C$4:$E$324,3,FALSE)</f>
        <v>0942</v>
      </c>
    </row>
    <row r="504" spans="1:33">
      <c r="A504" s="290"/>
      <c r="B504" s="288" t="str">
        <f t="shared" si="77"/>
        <v/>
      </c>
      <c r="C504" s="290"/>
      <c r="D504" s="288" t="str">
        <f t="shared" si="78"/>
        <v/>
      </c>
      <c r="E504" s="289"/>
      <c r="F504" s="288" t="str">
        <f t="shared" si="79"/>
        <v/>
      </c>
      <c r="G504" s="288" t="str">
        <f t="shared" si="80"/>
        <v/>
      </c>
      <c r="H504" s="128"/>
      <c r="I504" s="128"/>
      <c r="J504" s="128"/>
      <c r="K504" s="286"/>
      <c r="L504" s="287"/>
      <c r="M504" s="287"/>
      <c r="N504" s="286"/>
      <c r="O504" s="286"/>
      <c r="P504" s="285"/>
      <c r="R504" s="283" t="str">
        <f t="shared" si="73"/>
        <v/>
      </c>
      <c r="S504" s="283" t="str">
        <f t="shared" si="74"/>
        <v/>
      </c>
      <c r="T504" s="283" t="str">
        <f t="shared" si="75"/>
        <v/>
      </c>
      <c r="AD504" s="283" t="s">
        <v>1646</v>
      </c>
      <c r="AE504" s="283" t="s">
        <v>1645</v>
      </c>
      <c r="AF504" s="283" t="str">
        <f t="shared" si="76"/>
        <v>A679078</v>
      </c>
      <c r="AG504" s="283" t="str">
        <f>VLOOKUP(AF504,[2]AKT!$C$4:$E$324,3,FALSE)</f>
        <v>0942</v>
      </c>
    </row>
    <row r="505" spans="1:33">
      <c r="A505" s="290"/>
      <c r="B505" s="288" t="str">
        <f t="shared" si="77"/>
        <v/>
      </c>
      <c r="C505" s="290"/>
      <c r="D505" s="288" t="str">
        <f t="shared" si="78"/>
        <v/>
      </c>
      <c r="E505" s="289"/>
      <c r="F505" s="288" t="str">
        <f t="shared" si="79"/>
        <v/>
      </c>
      <c r="G505" s="288" t="str">
        <f t="shared" si="80"/>
        <v/>
      </c>
      <c r="H505" s="128"/>
      <c r="I505" s="128"/>
      <c r="J505" s="128"/>
      <c r="K505" s="286"/>
      <c r="L505" s="287"/>
      <c r="M505" s="287"/>
      <c r="N505" s="286"/>
      <c r="O505" s="286"/>
      <c r="P505" s="285"/>
      <c r="R505" s="283" t="str">
        <f t="shared" si="73"/>
        <v/>
      </c>
      <c r="S505" s="283" t="str">
        <f t="shared" si="74"/>
        <v/>
      </c>
      <c r="T505" s="283" t="str">
        <f t="shared" si="75"/>
        <v/>
      </c>
      <c r="AD505" s="283" t="s">
        <v>1644</v>
      </c>
      <c r="AE505" s="283" t="s">
        <v>1643</v>
      </c>
      <c r="AF505" s="283" t="str">
        <f t="shared" si="76"/>
        <v>A679078</v>
      </c>
      <c r="AG505" s="283" t="str">
        <f>VLOOKUP(AF505,[2]AKT!$C$4:$E$324,3,FALSE)</f>
        <v>0942</v>
      </c>
    </row>
    <row r="506" spans="1:33">
      <c r="A506" s="290"/>
      <c r="B506" s="288" t="str">
        <f t="shared" si="77"/>
        <v/>
      </c>
      <c r="C506" s="290"/>
      <c r="D506" s="288" t="str">
        <f t="shared" si="78"/>
        <v/>
      </c>
      <c r="E506" s="289"/>
      <c r="F506" s="288" t="str">
        <f t="shared" si="79"/>
        <v/>
      </c>
      <c r="G506" s="288" t="str">
        <f t="shared" si="80"/>
        <v/>
      </c>
      <c r="H506" s="128"/>
      <c r="I506" s="128"/>
      <c r="J506" s="128"/>
      <c r="K506" s="286"/>
      <c r="L506" s="287"/>
      <c r="M506" s="287"/>
      <c r="N506" s="286"/>
      <c r="O506" s="286"/>
      <c r="P506" s="285"/>
      <c r="R506" s="283" t="str">
        <f t="shared" si="73"/>
        <v/>
      </c>
      <c r="S506" s="283" t="str">
        <f t="shared" si="74"/>
        <v/>
      </c>
      <c r="T506" s="283" t="str">
        <f t="shared" si="75"/>
        <v/>
      </c>
      <c r="AD506" s="283" t="s">
        <v>1642</v>
      </c>
      <c r="AE506" s="283" t="s">
        <v>1641</v>
      </c>
      <c r="AF506" s="283" t="str">
        <f t="shared" si="76"/>
        <v>A679078</v>
      </c>
      <c r="AG506" s="283" t="str">
        <f>VLOOKUP(AF506,[2]AKT!$C$4:$E$324,3,FALSE)</f>
        <v>0942</v>
      </c>
    </row>
    <row r="507" spans="1:33">
      <c r="A507" s="290"/>
      <c r="B507" s="288" t="str">
        <f t="shared" si="77"/>
        <v/>
      </c>
      <c r="C507" s="290"/>
      <c r="D507" s="288" t="str">
        <f t="shared" si="78"/>
        <v/>
      </c>
      <c r="E507" s="289"/>
      <c r="F507" s="288" t="str">
        <f t="shared" si="79"/>
        <v/>
      </c>
      <c r="G507" s="288" t="str">
        <f t="shared" si="80"/>
        <v/>
      </c>
      <c r="H507" s="128"/>
      <c r="I507" s="128"/>
      <c r="J507" s="128"/>
      <c r="K507" s="286"/>
      <c r="L507" s="287"/>
      <c r="M507" s="287"/>
      <c r="N507" s="286"/>
      <c r="O507" s="286"/>
      <c r="P507" s="285"/>
      <c r="R507" s="283" t="str">
        <f t="shared" ref="R507:R516" si="81">LEFT(C507,3)</f>
        <v/>
      </c>
      <c r="S507" s="283" t="str">
        <f t="shared" ref="S507:S516" si="82">LEFT(C507,2)</f>
        <v/>
      </c>
      <c r="T507" s="283" t="str">
        <f t="shared" ref="T507:T516" si="83">MID(G507,2,2)</f>
        <v/>
      </c>
      <c r="AD507" s="283" t="s">
        <v>1640</v>
      </c>
      <c r="AE507" s="283" t="s">
        <v>1639</v>
      </c>
      <c r="AF507" s="283" t="str">
        <f t="shared" ref="AF507:AF570" si="84">LEFT(AD507,7)</f>
        <v>A679078</v>
      </c>
      <c r="AG507" s="283" t="str">
        <f>VLOOKUP(AF507,[2]AKT!$C$4:$E$324,3,FALSE)</f>
        <v>0942</v>
      </c>
    </row>
    <row r="508" spans="1:33">
      <c r="A508" s="290"/>
      <c r="B508" s="288" t="str">
        <f t="shared" si="77"/>
        <v/>
      </c>
      <c r="C508" s="290"/>
      <c r="D508" s="288" t="str">
        <f t="shared" si="78"/>
        <v/>
      </c>
      <c r="E508" s="289"/>
      <c r="F508" s="288" t="str">
        <f t="shared" si="79"/>
        <v/>
      </c>
      <c r="G508" s="288" t="str">
        <f t="shared" si="80"/>
        <v/>
      </c>
      <c r="H508" s="128"/>
      <c r="I508" s="128"/>
      <c r="J508" s="128"/>
      <c r="K508" s="286"/>
      <c r="L508" s="287"/>
      <c r="M508" s="287"/>
      <c r="N508" s="286"/>
      <c r="O508" s="286"/>
      <c r="P508" s="285"/>
      <c r="R508" s="283" t="str">
        <f t="shared" si="81"/>
        <v/>
      </c>
      <c r="S508" s="283" t="str">
        <f t="shared" si="82"/>
        <v/>
      </c>
      <c r="T508" s="283" t="str">
        <f t="shared" si="83"/>
        <v/>
      </c>
      <c r="AD508" s="283" t="s">
        <v>1638</v>
      </c>
      <c r="AE508" s="283" t="s">
        <v>1637</v>
      </c>
      <c r="AF508" s="283" t="str">
        <f t="shared" si="84"/>
        <v>A679078</v>
      </c>
      <c r="AG508" s="283" t="str">
        <f>VLOOKUP(AF508,[2]AKT!$C$4:$E$324,3,FALSE)</f>
        <v>0942</v>
      </c>
    </row>
    <row r="509" spans="1:33">
      <c r="A509" s="290"/>
      <c r="B509" s="288" t="str">
        <f t="shared" si="77"/>
        <v/>
      </c>
      <c r="C509" s="290"/>
      <c r="D509" s="288" t="str">
        <f t="shared" si="78"/>
        <v/>
      </c>
      <c r="E509" s="289"/>
      <c r="F509" s="288" t="str">
        <f t="shared" si="79"/>
        <v/>
      </c>
      <c r="G509" s="288" t="str">
        <f t="shared" si="80"/>
        <v/>
      </c>
      <c r="H509" s="128"/>
      <c r="I509" s="128"/>
      <c r="J509" s="128"/>
      <c r="K509" s="286"/>
      <c r="L509" s="287"/>
      <c r="M509" s="287"/>
      <c r="N509" s="286"/>
      <c r="O509" s="286"/>
      <c r="P509" s="285"/>
      <c r="R509" s="283" t="str">
        <f t="shared" si="81"/>
        <v/>
      </c>
      <c r="S509" s="283" t="str">
        <f t="shared" si="82"/>
        <v/>
      </c>
      <c r="T509" s="283" t="str">
        <f t="shared" si="83"/>
        <v/>
      </c>
      <c r="AD509" s="283" t="s">
        <v>1636</v>
      </c>
      <c r="AE509" s="283" t="s">
        <v>1635</v>
      </c>
      <c r="AF509" s="283" t="str">
        <f t="shared" si="84"/>
        <v>A679078</v>
      </c>
      <c r="AG509" s="283" t="str">
        <f>VLOOKUP(AF509,[2]AKT!$C$4:$E$324,3,FALSE)</f>
        <v>0942</v>
      </c>
    </row>
    <row r="510" spans="1:33">
      <c r="A510" s="290"/>
      <c r="B510" s="288" t="str">
        <f t="shared" si="77"/>
        <v/>
      </c>
      <c r="C510" s="290"/>
      <c r="D510" s="288" t="str">
        <f t="shared" si="78"/>
        <v/>
      </c>
      <c r="E510" s="289"/>
      <c r="F510" s="288" t="str">
        <f t="shared" si="79"/>
        <v/>
      </c>
      <c r="G510" s="288" t="str">
        <f t="shared" si="80"/>
        <v/>
      </c>
      <c r="H510" s="128"/>
      <c r="I510" s="128"/>
      <c r="J510" s="128"/>
      <c r="K510" s="286"/>
      <c r="L510" s="287"/>
      <c r="M510" s="287"/>
      <c r="N510" s="286"/>
      <c r="O510" s="286"/>
      <c r="P510" s="285"/>
      <c r="R510" s="283" t="str">
        <f t="shared" si="81"/>
        <v/>
      </c>
      <c r="S510" s="283" t="str">
        <f t="shared" si="82"/>
        <v/>
      </c>
      <c r="T510" s="283" t="str">
        <f t="shared" si="83"/>
        <v/>
      </c>
      <c r="AD510" s="283" t="s">
        <v>1634</v>
      </c>
      <c r="AE510" s="283" t="s">
        <v>1633</v>
      </c>
      <c r="AF510" s="283" t="str">
        <f t="shared" si="84"/>
        <v>A679078</v>
      </c>
      <c r="AG510" s="283" t="str">
        <f>VLOOKUP(AF510,[2]AKT!$C$4:$E$324,3,FALSE)</f>
        <v>0942</v>
      </c>
    </row>
    <row r="511" spans="1:33">
      <c r="A511" s="290"/>
      <c r="B511" s="288" t="str">
        <f t="shared" si="77"/>
        <v/>
      </c>
      <c r="C511" s="290"/>
      <c r="D511" s="288" t="str">
        <f t="shared" si="78"/>
        <v/>
      </c>
      <c r="E511" s="289"/>
      <c r="F511" s="288" t="str">
        <f t="shared" si="79"/>
        <v/>
      </c>
      <c r="G511" s="288" t="str">
        <f t="shared" si="80"/>
        <v/>
      </c>
      <c r="H511" s="128"/>
      <c r="I511" s="128"/>
      <c r="J511" s="128"/>
      <c r="K511" s="286"/>
      <c r="L511" s="287"/>
      <c r="M511" s="287"/>
      <c r="N511" s="286"/>
      <c r="O511" s="286"/>
      <c r="P511" s="285"/>
      <c r="R511" s="283" t="str">
        <f t="shared" si="81"/>
        <v/>
      </c>
      <c r="S511" s="283" t="str">
        <f t="shared" si="82"/>
        <v/>
      </c>
      <c r="T511" s="283" t="str">
        <f t="shared" si="83"/>
        <v/>
      </c>
      <c r="AD511" s="283" t="s">
        <v>1632</v>
      </c>
      <c r="AE511" s="283" t="s">
        <v>1631</v>
      </c>
      <c r="AF511" s="283" t="str">
        <f t="shared" si="84"/>
        <v>A679078</v>
      </c>
      <c r="AG511" s="283" t="str">
        <f>VLOOKUP(AF511,[2]AKT!$C$4:$E$324,3,FALSE)</f>
        <v>0942</v>
      </c>
    </row>
    <row r="512" spans="1:33">
      <c r="A512" s="290"/>
      <c r="B512" s="288" t="str">
        <f t="shared" si="77"/>
        <v/>
      </c>
      <c r="C512" s="290"/>
      <c r="D512" s="288" t="str">
        <f t="shared" si="78"/>
        <v/>
      </c>
      <c r="E512" s="289"/>
      <c r="F512" s="288" t="str">
        <f t="shared" si="79"/>
        <v/>
      </c>
      <c r="G512" s="288" t="str">
        <f t="shared" si="80"/>
        <v/>
      </c>
      <c r="H512" s="128"/>
      <c r="I512" s="128"/>
      <c r="J512" s="128"/>
      <c r="K512" s="286"/>
      <c r="L512" s="287"/>
      <c r="M512" s="287"/>
      <c r="N512" s="286"/>
      <c r="O512" s="286"/>
      <c r="P512" s="285"/>
      <c r="R512" s="283" t="str">
        <f t="shared" si="81"/>
        <v/>
      </c>
      <c r="S512" s="283" t="str">
        <f t="shared" si="82"/>
        <v/>
      </c>
      <c r="T512" s="283" t="str">
        <f t="shared" si="83"/>
        <v/>
      </c>
      <c r="AD512" s="283" t="s">
        <v>1630</v>
      </c>
      <c r="AE512" s="283" t="s">
        <v>1629</v>
      </c>
      <c r="AF512" s="283" t="str">
        <f t="shared" si="84"/>
        <v>A679078</v>
      </c>
      <c r="AG512" s="283" t="str">
        <f>VLOOKUP(AF512,[2]AKT!$C$4:$E$324,3,FALSE)</f>
        <v>0942</v>
      </c>
    </row>
    <row r="513" spans="1:33">
      <c r="A513" s="290"/>
      <c r="B513" s="288" t="str">
        <f t="shared" si="77"/>
        <v/>
      </c>
      <c r="C513" s="290"/>
      <c r="D513" s="288" t="str">
        <f t="shared" si="78"/>
        <v/>
      </c>
      <c r="E513" s="289"/>
      <c r="F513" s="288" t="str">
        <f t="shared" si="79"/>
        <v/>
      </c>
      <c r="G513" s="288" t="str">
        <f t="shared" si="80"/>
        <v/>
      </c>
      <c r="H513" s="128"/>
      <c r="I513" s="128"/>
      <c r="J513" s="128"/>
      <c r="K513" s="286"/>
      <c r="L513" s="287"/>
      <c r="M513" s="287"/>
      <c r="N513" s="286"/>
      <c r="O513" s="286"/>
      <c r="P513" s="285"/>
      <c r="R513" s="283" t="str">
        <f t="shared" si="81"/>
        <v/>
      </c>
      <c r="S513" s="283" t="str">
        <f t="shared" si="82"/>
        <v/>
      </c>
      <c r="T513" s="283" t="str">
        <f t="shared" si="83"/>
        <v/>
      </c>
      <c r="AD513" s="283" t="s">
        <v>1628</v>
      </c>
      <c r="AE513" s="283" t="s">
        <v>1627</v>
      </c>
      <c r="AF513" s="283" t="str">
        <f t="shared" si="84"/>
        <v>A679078</v>
      </c>
      <c r="AG513" s="283" t="str">
        <f>VLOOKUP(AF513,[2]AKT!$C$4:$E$324,3,FALSE)</f>
        <v>0942</v>
      </c>
    </row>
    <row r="514" spans="1:33">
      <c r="A514" s="290"/>
      <c r="B514" s="288" t="str">
        <f t="shared" si="77"/>
        <v/>
      </c>
      <c r="C514" s="290"/>
      <c r="D514" s="288" t="str">
        <f t="shared" si="78"/>
        <v/>
      </c>
      <c r="E514" s="289"/>
      <c r="F514" s="288" t="str">
        <f t="shared" si="79"/>
        <v/>
      </c>
      <c r="G514" s="288" t="str">
        <f t="shared" si="80"/>
        <v/>
      </c>
      <c r="H514" s="128"/>
      <c r="I514" s="128"/>
      <c r="J514" s="128"/>
      <c r="K514" s="286"/>
      <c r="L514" s="287"/>
      <c r="M514" s="287"/>
      <c r="N514" s="286"/>
      <c r="O514" s="286"/>
      <c r="P514" s="285"/>
      <c r="R514" s="283" t="str">
        <f t="shared" si="81"/>
        <v/>
      </c>
      <c r="S514" s="283" t="str">
        <f t="shared" si="82"/>
        <v/>
      </c>
      <c r="T514" s="283" t="str">
        <f t="shared" si="83"/>
        <v/>
      </c>
      <c r="AD514" s="283" t="s">
        <v>1626</v>
      </c>
      <c r="AE514" s="283" t="s">
        <v>1625</v>
      </c>
      <c r="AF514" s="283" t="str">
        <f t="shared" si="84"/>
        <v>A679078</v>
      </c>
      <c r="AG514" s="283" t="str">
        <f>VLOOKUP(AF514,[2]AKT!$C$4:$E$324,3,FALSE)</f>
        <v>0942</v>
      </c>
    </row>
    <row r="515" spans="1:33">
      <c r="A515" s="290"/>
      <c r="B515" s="288" t="str">
        <f t="shared" si="77"/>
        <v/>
      </c>
      <c r="C515" s="290"/>
      <c r="D515" s="288" t="str">
        <f t="shared" si="78"/>
        <v/>
      </c>
      <c r="E515" s="289"/>
      <c r="F515" s="288" t="str">
        <f t="shared" si="79"/>
        <v/>
      </c>
      <c r="G515" s="288" t="str">
        <f t="shared" si="80"/>
        <v/>
      </c>
      <c r="H515" s="128"/>
      <c r="I515" s="128"/>
      <c r="J515" s="128"/>
      <c r="K515" s="286"/>
      <c r="L515" s="287"/>
      <c r="M515" s="287"/>
      <c r="N515" s="286"/>
      <c r="O515" s="286"/>
      <c r="P515" s="285"/>
      <c r="R515" s="283" t="str">
        <f t="shared" si="81"/>
        <v/>
      </c>
      <c r="S515" s="283" t="str">
        <f t="shared" si="82"/>
        <v/>
      </c>
      <c r="T515" s="283" t="str">
        <f t="shared" si="83"/>
        <v/>
      </c>
      <c r="AD515" s="283" t="s">
        <v>1624</v>
      </c>
      <c r="AE515" s="283" t="s">
        <v>1623</v>
      </c>
      <c r="AF515" s="283" t="str">
        <f t="shared" si="84"/>
        <v>A679078</v>
      </c>
      <c r="AG515" s="283" t="str">
        <f>VLOOKUP(AF515,[2]AKT!$C$4:$E$324,3,FALSE)</f>
        <v>0942</v>
      </c>
    </row>
    <row r="516" spans="1:33">
      <c r="A516" s="290"/>
      <c r="B516" s="288" t="str">
        <f t="shared" si="77"/>
        <v/>
      </c>
      <c r="C516" s="290"/>
      <c r="D516" s="288" t="str">
        <f t="shared" si="78"/>
        <v/>
      </c>
      <c r="E516" s="289"/>
      <c r="F516" s="288" t="str">
        <f t="shared" si="79"/>
        <v/>
      </c>
      <c r="G516" s="288" t="str">
        <f t="shared" si="80"/>
        <v/>
      </c>
      <c r="H516" s="128"/>
      <c r="I516" s="128"/>
      <c r="J516" s="128"/>
      <c r="K516" s="286"/>
      <c r="L516" s="287"/>
      <c r="M516" s="287"/>
      <c r="N516" s="286"/>
      <c r="O516" s="286"/>
      <c r="P516" s="285"/>
      <c r="R516" s="283" t="str">
        <f t="shared" si="81"/>
        <v/>
      </c>
      <c r="S516" s="283" t="str">
        <f t="shared" si="82"/>
        <v/>
      </c>
      <c r="T516" s="283" t="str">
        <f t="shared" si="83"/>
        <v/>
      </c>
      <c r="AD516" s="283" t="s">
        <v>1622</v>
      </c>
      <c r="AE516" s="283" t="s">
        <v>1621</v>
      </c>
      <c r="AF516" s="283" t="str">
        <f t="shared" si="84"/>
        <v>A679078</v>
      </c>
      <c r="AG516" s="283" t="str">
        <f>VLOOKUP(AF516,[2]AKT!$C$4:$E$324,3,FALSE)</f>
        <v>0942</v>
      </c>
    </row>
    <row r="517" spans="1:33" ht="15.75" customHeight="1">
      <c r="AD517" s="283" t="s">
        <v>1620</v>
      </c>
      <c r="AE517" s="283" t="s">
        <v>1619</v>
      </c>
      <c r="AF517" s="283" t="str">
        <f t="shared" si="84"/>
        <v>A679078</v>
      </c>
      <c r="AG517" s="283" t="str">
        <f>VLOOKUP(AF517,[2]AKT!$C$4:$E$324,3,FALSE)</f>
        <v>0942</v>
      </c>
    </row>
    <row r="518" spans="1:33">
      <c r="AD518" s="283" t="s">
        <v>1618</v>
      </c>
      <c r="AE518" s="283" t="s">
        <v>1617</v>
      </c>
      <c r="AF518" s="283" t="str">
        <f t="shared" si="84"/>
        <v>A679078</v>
      </c>
      <c r="AG518" s="283" t="str">
        <f>VLOOKUP(AF518,[2]AKT!$C$4:$E$324,3,FALSE)</f>
        <v>0942</v>
      </c>
    </row>
    <row r="519" spans="1:33">
      <c r="AD519" s="283" t="s">
        <v>1616</v>
      </c>
      <c r="AE519" s="283" t="s">
        <v>1615</v>
      </c>
      <c r="AF519" s="283" t="str">
        <f t="shared" si="84"/>
        <v>A679078</v>
      </c>
      <c r="AG519" s="283" t="str">
        <f>VLOOKUP(AF519,[2]AKT!$C$4:$E$324,3,FALSE)</f>
        <v>0942</v>
      </c>
    </row>
    <row r="520" spans="1:33">
      <c r="AD520" s="283" t="s">
        <v>1614</v>
      </c>
      <c r="AE520" s="283" t="s">
        <v>1613</v>
      </c>
      <c r="AF520" s="283" t="str">
        <f t="shared" si="84"/>
        <v>A679078</v>
      </c>
      <c r="AG520" s="283" t="str">
        <f>VLOOKUP(AF520,[2]AKT!$C$4:$E$324,3,FALSE)</f>
        <v>0942</v>
      </c>
    </row>
    <row r="521" spans="1:33">
      <c r="AD521" s="283" t="s">
        <v>1612</v>
      </c>
      <c r="AE521" s="283" t="s">
        <v>1611</v>
      </c>
      <c r="AF521" s="283" t="str">
        <f t="shared" si="84"/>
        <v>A679078</v>
      </c>
      <c r="AG521" s="283" t="str">
        <f>VLOOKUP(AF521,[2]AKT!$C$4:$E$324,3,FALSE)</f>
        <v>0942</v>
      </c>
    </row>
    <row r="522" spans="1:33">
      <c r="AD522" s="283" t="s">
        <v>1610</v>
      </c>
      <c r="AE522" s="283" t="s">
        <v>1609</v>
      </c>
      <c r="AF522" s="283" t="str">
        <f t="shared" si="84"/>
        <v>A679078</v>
      </c>
      <c r="AG522" s="283" t="str">
        <f>VLOOKUP(AF522,[2]AKT!$C$4:$E$324,3,FALSE)</f>
        <v>0942</v>
      </c>
    </row>
    <row r="523" spans="1:33">
      <c r="AD523" s="283" t="s">
        <v>1608</v>
      </c>
      <c r="AE523" s="283" t="s">
        <v>1607</v>
      </c>
      <c r="AF523" s="283" t="str">
        <f t="shared" si="84"/>
        <v>A679078</v>
      </c>
      <c r="AG523" s="283" t="str">
        <f>VLOOKUP(AF523,[2]AKT!$C$4:$E$324,3,FALSE)</f>
        <v>0942</v>
      </c>
    </row>
    <row r="524" spans="1:33">
      <c r="AD524" s="283" t="s">
        <v>1606</v>
      </c>
      <c r="AE524" s="283" t="s">
        <v>1605</v>
      </c>
      <c r="AF524" s="283" t="str">
        <f t="shared" si="84"/>
        <v>A679078</v>
      </c>
      <c r="AG524" s="283" t="str">
        <f>VLOOKUP(AF524,[2]AKT!$C$4:$E$324,3,FALSE)</f>
        <v>0942</v>
      </c>
    </row>
    <row r="525" spans="1:33">
      <c r="AD525" s="283" t="s">
        <v>1604</v>
      </c>
      <c r="AE525" s="283" t="s">
        <v>1603</v>
      </c>
      <c r="AF525" s="283" t="str">
        <f t="shared" si="84"/>
        <v>A679078</v>
      </c>
      <c r="AG525" s="283" t="str">
        <f>VLOOKUP(AF525,[2]AKT!$C$4:$E$324,3,FALSE)</f>
        <v>0942</v>
      </c>
    </row>
    <row r="526" spans="1:33">
      <c r="AD526" s="283" t="s">
        <v>1602</v>
      </c>
      <c r="AE526" s="283" t="s">
        <v>1601</v>
      </c>
      <c r="AF526" s="283" t="str">
        <f t="shared" si="84"/>
        <v>A679078</v>
      </c>
      <c r="AG526" s="283" t="str">
        <f>VLOOKUP(AF526,[2]AKT!$C$4:$E$324,3,FALSE)</f>
        <v>0942</v>
      </c>
    </row>
    <row r="527" spans="1:33">
      <c r="AD527" s="283" t="s">
        <v>1600</v>
      </c>
      <c r="AE527" s="283" t="s">
        <v>1599</v>
      </c>
      <c r="AF527" s="283" t="str">
        <f t="shared" si="84"/>
        <v>A679078</v>
      </c>
      <c r="AG527" s="283" t="str">
        <f>VLOOKUP(AF527,[2]AKT!$C$4:$E$324,3,FALSE)</f>
        <v>0942</v>
      </c>
    </row>
    <row r="528" spans="1:33">
      <c r="AD528" s="283" t="s">
        <v>1598</v>
      </c>
      <c r="AE528" s="283" t="s">
        <v>1597</v>
      </c>
      <c r="AF528" s="283" t="str">
        <f t="shared" si="84"/>
        <v>A679078</v>
      </c>
      <c r="AG528" s="283" t="str">
        <f>VLOOKUP(AF528,[2]AKT!$C$4:$E$324,3,FALSE)</f>
        <v>0942</v>
      </c>
    </row>
    <row r="529" spans="30:33">
      <c r="AD529" s="283" t="s">
        <v>1596</v>
      </c>
      <c r="AE529" s="283" t="s">
        <v>1595</v>
      </c>
      <c r="AF529" s="283" t="str">
        <f t="shared" si="84"/>
        <v>A679078</v>
      </c>
      <c r="AG529" s="283" t="str">
        <f>VLOOKUP(AF529,[2]AKT!$C$4:$E$324,3,FALSE)</f>
        <v>0942</v>
      </c>
    </row>
    <row r="530" spans="30:33">
      <c r="AD530" s="283" t="s">
        <v>1594</v>
      </c>
      <c r="AE530" s="283" t="s">
        <v>1593</v>
      </c>
      <c r="AF530" s="283" t="str">
        <f t="shared" si="84"/>
        <v>A679078</v>
      </c>
      <c r="AG530" s="283" t="str">
        <f>VLOOKUP(AF530,[2]AKT!$C$4:$E$324,3,FALSE)</f>
        <v>0942</v>
      </c>
    </row>
    <row r="531" spans="30:33">
      <c r="AD531" s="283" t="s">
        <v>1592</v>
      </c>
      <c r="AE531" s="283" t="s">
        <v>1591</v>
      </c>
      <c r="AF531" s="283" t="str">
        <f t="shared" si="84"/>
        <v>A679078</v>
      </c>
      <c r="AG531" s="283" t="str">
        <f>VLOOKUP(AF531,[2]AKT!$C$4:$E$324,3,FALSE)</f>
        <v>0942</v>
      </c>
    </row>
    <row r="532" spans="30:33">
      <c r="AD532" s="283" t="s">
        <v>1590</v>
      </c>
      <c r="AE532" s="283" t="s">
        <v>1589</v>
      </c>
      <c r="AF532" s="283" t="str">
        <f t="shared" si="84"/>
        <v>A679078</v>
      </c>
      <c r="AG532" s="283" t="str">
        <f>VLOOKUP(AF532,[2]AKT!$C$4:$E$324,3,FALSE)</f>
        <v>0942</v>
      </c>
    </row>
    <row r="533" spans="30:33">
      <c r="AD533" s="283" t="s">
        <v>1588</v>
      </c>
      <c r="AE533" s="283" t="s">
        <v>1587</v>
      </c>
      <c r="AF533" s="283" t="str">
        <f t="shared" si="84"/>
        <v>A679078</v>
      </c>
      <c r="AG533" s="283" t="str">
        <f>VLOOKUP(AF533,[2]AKT!$C$4:$E$324,3,FALSE)</f>
        <v>0942</v>
      </c>
    </row>
    <row r="534" spans="30:33">
      <c r="AD534" s="283" t="s">
        <v>1586</v>
      </c>
      <c r="AE534" s="283" t="s">
        <v>1585</v>
      </c>
      <c r="AF534" s="283" t="str">
        <f t="shared" si="84"/>
        <v>A679078</v>
      </c>
      <c r="AG534" s="283" t="str">
        <f>VLOOKUP(AF534,[2]AKT!$C$4:$E$324,3,FALSE)</f>
        <v>0942</v>
      </c>
    </row>
    <row r="535" spans="30:33">
      <c r="AD535" s="283" t="s">
        <v>1584</v>
      </c>
      <c r="AE535" s="283" t="s">
        <v>1583</v>
      </c>
      <c r="AF535" s="283" t="str">
        <f t="shared" si="84"/>
        <v>A679078</v>
      </c>
      <c r="AG535" s="283" t="str">
        <f>VLOOKUP(AF535,[2]AKT!$C$4:$E$324,3,FALSE)</f>
        <v>0942</v>
      </c>
    </row>
    <row r="536" spans="30:33">
      <c r="AD536" s="283" t="s">
        <v>1582</v>
      </c>
      <c r="AE536" s="283" t="s">
        <v>1581</v>
      </c>
      <c r="AF536" s="283" t="str">
        <f t="shared" si="84"/>
        <v>A679078</v>
      </c>
      <c r="AG536" s="283" t="str">
        <f>VLOOKUP(AF536,[2]AKT!$C$4:$E$324,3,FALSE)</f>
        <v>0942</v>
      </c>
    </row>
    <row r="537" spans="30:33">
      <c r="AD537" s="283" t="s">
        <v>1580</v>
      </c>
      <c r="AE537" s="283" t="s">
        <v>1579</v>
      </c>
      <c r="AF537" s="283" t="str">
        <f t="shared" si="84"/>
        <v>A679078</v>
      </c>
      <c r="AG537" s="283" t="str">
        <f>VLOOKUP(AF537,[2]AKT!$C$4:$E$324,3,FALSE)</f>
        <v>0942</v>
      </c>
    </row>
    <row r="538" spans="30:33">
      <c r="AD538" s="283" t="s">
        <v>1578</v>
      </c>
      <c r="AE538" s="283" t="s">
        <v>1577</v>
      </c>
      <c r="AF538" s="283" t="str">
        <f t="shared" si="84"/>
        <v>A679078</v>
      </c>
      <c r="AG538" s="283" t="str">
        <f>VLOOKUP(AF538,[2]AKT!$C$4:$E$324,3,FALSE)</f>
        <v>0942</v>
      </c>
    </row>
    <row r="539" spans="30:33">
      <c r="AD539" s="283" t="s">
        <v>1576</v>
      </c>
      <c r="AE539" s="283" t="s">
        <v>1575</v>
      </c>
      <c r="AF539" s="283" t="str">
        <f t="shared" si="84"/>
        <v>A679078</v>
      </c>
      <c r="AG539" s="283" t="str">
        <f>VLOOKUP(AF539,[2]AKT!$C$4:$E$324,3,FALSE)</f>
        <v>0942</v>
      </c>
    </row>
    <row r="540" spans="30:33">
      <c r="AD540" s="283" t="s">
        <v>1574</v>
      </c>
      <c r="AE540" s="283" t="s">
        <v>1573</v>
      </c>
      <c r="AF540" s="283" t="str">
        <f t="shared" si="84"/>
        <v>A679078</v>
      </c>
      <c r="AG540" s="283" t="str">
        <f>VLOOKUP(AF540,[2]AKT!$C$4:$E$324,3,FALSE)</f>
        <v>0942</v>
      </c>
    </row>
    <row r="541" spans="30:33">
      <c r="AD541" s="283" t="s">
        <v>1572</v>
      </c>
      <c r="AE541" s="283" t="s">
        <v>1571</v>
      </c>
      <c r="AF541" s="283" t="str">
        <f t="shared" si="84"/>
        <v>A679078</v>
      </c>
      <c r="AG541" s="283" t="str">
        <f>VLOOKUP(AF541,[2]AKT!$C$4:$E$324,3,FALSE)</f>
        <v>0942</v>
      </c>
    </row>
    <row r="542" spans="30:33">
      <c r="AD542" s="283" t="s">
        <v>1570</v>
      </c>
      <c r="AE542" s="283" t="s">
        <v>1569</v>
      </c>
      <c r="AF542" s="283" t="str">
        <f t="shared" si="84"/>
        <v>A679078</v>
      </c>
      <c r="AG542" s="283" t="str">
        <f>VLOOKUP(AF542,[2]AKT!$C$4:$E$324,3,FALSE)</f>
        <v>0942</v>
      </c>
    </row>
    <row r="543" spans="30:33">
      <c r="AD543" s="283" t="s">
        <v>1568</v>
      </c>
      <c r="AE543" s="283" t="s">
        <v>1567</v>
      </c>
      <c r="AF543" s="283" t="str">
        <f t="shared" si="84"/>
        <v>A679078</v>
      </c>
      <c r="AG543" s="283" t="str">
        <f>VLOOKUP(AF543,[2]AKT!$C$4:$E$324,3,FALSE)</f>
        <v>0942</v>
      </c>
    </row>
    <row r="544" spans="30:33">
      <c r="AD544" s="283" t="s">
        <v>1566</v>
      </c>
      <c r="AE544" s="283" t="s">
        <v>1565</v>
      </c>
      <c r="AF544" s="283" t="str">
        <f t="shared" si="84"/>
        <v>A679078</v>
      </c>
      <c r="AG544" s="283" t="str">
        <f>VLOOKUP(AF544,[2]AKT!$C$4:$E$324,3,FALSE)</f>
        <v>0942</v>
      </c>
    </row>
    <row r="545" spans="30:33">
      <c r="AD545" s="283" t="s">
        <v>1564</v>
      </c>
      <c r="AE545" s="283" t="s">
        <v>1563</v>
      </c>
      <c r="AF545" s="283" t="str">
        <f t="shared" si="84"/>
        <v>A679078</v>
      </c>
      <c r="AG545" s="283" t="str">
        <f>VLOOKUP(AF545,[2]AKT!$C$4:$E$324,3,FALSE)</f>
        <v>0942</v>
      </c>
    </row>
    <row r="546" spans="30:33">
      <c r="AD546" s="283" t="s">
        <v>1562</v>
      </c>
      <c r="AE546" s="283" t="s">
        <v>1561</v>
      </c>
      <c r="AF546" s="283" t="str">
        <f t="shared" si="84"/>
        <v>A679078</v>
      </c>
      <c r="AG546" s="283" t="str">
        <f>VLOOKUP(AF546,[2]AKT!$C$4:$E$324,3,FALSE)</f>
        <v>0942</v>
      </c>
    </row>
    <row r="547" spans="30:33">
      <c r="AD547" s="283" t="s">
        <v>1560</v>
      </c>
      <c r="AE547" s="283" t="s">
        <v>1559</v>
      </c>
      <c r="AF547" s="283" t="str">
        <f t="shared" si="84"/>
        <v>A679078</v>
      </c>
      <c r="AG547" s="283" t="str">
        <f>VLOOKUP(AF547,[2]AKT!$C$4:$E$324,3,FALSE)</f>
        <v>0942</v>
      </c>
    </row>
    <row r="548" spans="30:33">
      <c r="AD548" s="283" t="s">
        <v>1558</v>
      </c>
      <c r="AE548" s="283" t="s">
        <v>1557</v>
      </c>
      <c r="AF548" s="283" t="str">
        <f t="shared" si="84"/>
        <v>A679078</v>
      </c>
      <c r="AG548" s="283" t="str">
        <f>VLOOKUP(AF548,[2]AKT!$C$4:$E$324,3,FALSE)</f>
        <v>0942</v>
      </c>
    </row>
    <row r="549" spans="30:33">
      <c r="AD549" s="283" t="s">
        <v>1556</v>
      </c>
      <c r="AE549" s="283" t="s">
        <v>1555</v>
      </c>
      <c r="AF549" s="283" t="str">
        <f t="shared" si="84"/>
        <v>A679078</v>
      </c>
      <c r="AG549" s="283" t="str">
        <f>VLOOKUP(AF549,[2]AKT!$C$4:$E$324,3,FALSE)</f>
        <v>0942</v>
      </c>
    </row>
    <row r="550" spans="30:33">
      <c r="AD550" s="283" t="s">
        <v>1554</v>
      </c>
      <c r="AE550" s="283" t="s">
        <v>1553</v>
      </c>
      <c r="AF550" s="283" t="str">
        <f t="shared" si="84"/>
        <v>A679078</v>
      </c>
      <c r="AG550" s="283" t="str">
        <f>VLOOKUP(AF550,[2]AKT!$C$4:$E$324,3,FALSE)</f>
        <v>0942</v>
      </c>
    </row>
    <row r="551" spans="30:33">
      <c r="AD551" s="283" t="s">
        <v>1552</v>
      </c>
      <c r="AE551" s="283" t="s">
        <v>1551</v>
      </c>
      <c r="AF551" s="283" t="str">
        <f t="shared" si="84"/>
        <v>A679078</v>
      </c>
      <c r="AG551" s="283" t="str">
        <f>VLOOKUP(AF551,[2]AKT!$C$4:$E$324,3,FALSE)</f>
        <v>0942</v>
      </c>
    </row>
    <row r="552" spans="30:33">
      <c r="AD552" s="283" t="s">
        <v>1550</v>
      </c>
      <c r="AE552" s="283" t="s">
        <v>1549</v>
      </c>
      <c r="AF552" s="283" t="str">
        <f t="shared" si="84"/>
        <v>A679078</v>
      </c>
      <c r="AG552" s="283" t="str">
        <f>VLOOKUP(AF552,[2]AKT!$C$4:$E$324,3,FALSE)</f>
        <v>0942</v>
      </c>
    </row>
    <row r="553" spans="30:33">
      <c r="AD553" s="283" t="s">
        <v>1548</v>
      </c>
      <c r="AE553" s="283" t="s">
        <v>1547</v>
      </c>
      <c r="AF553" s="283" t="str">
        <f t="shared" si="84"/>
        <v>A679078</v>
      </c>
      <c r="AG553" s="283" t="str">
        <f>VLOOKUP(AF553,[2]AKT!$C$4:$E$324,3,FALSE)</f>
        <v>0942</v>
      </c>
    </row>
    <row r="554" spans="30:33">
      <c r="AD554" s="283" t="s">
        <v>1546</v>
      </c>
      <c r="AE554" s="283" t="s">
        <v>1545</v>
      </c>
      <c r="AF554" s="283" t="str">
        <f t="shared" si="84"/>
        <v>A679078</v>
      </c>
      <c r="AG554" s="283" t="str">
        <f>VLOOKUP(AF554,[2]AKT!$C$4:$E$324,3,FALSE)</f>
        <v>0942</v>
      </c>
    </row>
    <row r="555" spans="30:33">
      <c r="AD555" s="283" t="s">
        <v>1544</v>
      </c>
      <c r="AE555" s="283" t="s">
        <v>1543</v>
      </c>
      <c r="AF555" s="283" t="str">
        <f t="shared" si="84"/>
        <v>A679078</v>
      </c>
      <c r="AG555" s="283" t="str">
        <f>VLOOKUP(AF555,[2]AKT!$C$4:$E$324,3,FALSE)</f>
        <v>0942</v>
      </c>
    </row>
    <row r="556" spans="30:33">
      <c r="AD556" s="283" t="s">
        <v>1542</v>
      </c>
      <c r="AE556" s="283" t="s">
        <v>1541</v>
      </c>
      <c r="AF556" s="283" t="str">
        <f t="shared" si="84"/>
        <v>A679078</v>
      </c>
      <c r="AG556" s="283" t="str">
        <f>VLOOKUP(AF556,[2]AKT!$C$4:$E$324,3,FALSE)</f>
        <v>0942</v>
      </c>
    </row>
    <row r="557" spans="30:33">
      <c r="AD557" s="283" t="s">
        <v>1540</v>
      </c>
      <c r="AE557" s="283" t="s">
        <v>1539</v>
      </c>
      <c r="AF557" s="283" t="str">
        <f t="shared" si="84"/>
        <v>A679078</v>
      </c>
      <c r="AG557" s="283" t="str">
        <f>VLOOKUP(AF557,[2]AKT!$C$4:$E$324,3,FALSE)</f>
        <v>0942</v>
      </c>
    </row>
    <row r="558" spans="30:33">
      <c r="AD558" s="283" t="s">
        <v>1538</v>
      </c>
      <c r="AE558" s="283" t="s">
        <v>1537</v>
      </c>
      <c r="AF558" s="283" t="str">
        <f t="shared" si="84"/>
        <v>A679078</v>
      </c>
      <c r="AG558" s="283" t="str">
        <f>VLOOKUP(AF558,[2]AKT!$C$4:$E$324,3,FALSE)</f>
        <v>0942</v>
      </c>
    </row>
    <row r="559" spans="30:33">
      <c r="AD559" s="283" t="s">
        <v>1536</v>
      </c>
      <c r="AE559" s="283" t="s">
        <v>1535</v>
      </c>
      <c r="AF559" s="283" t="str">
        <f t="shared" si="84"/>
        <v>A679078</v>
      </c>
      <c r="AG559" s="283" t="str">
        <f>VLOOKUP(AF559,[2]AKT!$C$4:$E$324,3,FALSE)</f>
        <v>0942</v>
      </c>
    </row>
    <row r="560" spans="30:33">
      <c r="AD560" s="283" t="s">
        <v>1534</v>
      </c>
      <c r="AE560" s="283" t="s">
        <v>1533</v>
      </c>
      <c r="AF560" s="283" t="str">
        <f t="shared" si="84"/>
        <v>A679078</v>
      </c>
      <c r="AG560" s="283" t="str">
        <f>VLOOKUP(AF560,[2]AKT!$C$4:$E$324,3,FALSE)</f>
        <v>0942</v>
      </c>
    </row>
    <row r="561" spans="30:33">
      <c r="AD561" s="283" t="s">
        <v>1532</v>
      </c>
      <c r="AE561" s="283" t="s">
        <v>1531</v>
      </c>
      <c r="AF561" s="283" t="str">
        <f t="shared" si="84"/>
        <v>A679078</v>
      </c>
      <c r="AG561" s="283" t="str">
        <f>VLOOKUP(AF561,[2]AKT!$C$4:$E$324,3,FALSE)</f>
        <v>0942</v>
      </c>
    </row>
    <row r="562" spans="30:33">
      <c r="AD562" s="283" t="s">
        <v>1530</v>
      </c>
      <c r="AE562" s="283" t="s">
        <v>1529</v>
      </c>
      <c r="AF562" s="283" t="str">
        <f t="shared" si="84"/>
        <v>A679078</v>
      </c>
      <c r="AG562" s="283" t="str">
        <f>VLOOKUP(AF562,[2]AKT!$C$4:$E$324,3,FALSE)</f>
        <v>0942</v>
      </c>
    </row>
    <row r="563" spans="30:33">
      <c r="AD563" s="283" t="s">
        <v>1528</v>
      </c>
      <c r="AE563" s="283" t="s">
        <v>1527</v>
      </c>
      <c r="AF563" s="283" t="str">
        <f t="shared" si="84"/>
        <v>A679078</v>
      </c>
      <c r="AG563" s="283" t="str">
        <f>VLOOKUP(AF563,[2]AKT!$C$4:$E$324,3,FALSE)</f>
        <v>0942</v>
      </c>
    </row>
    <row r="564" spans="30:33">
      <c r="AD564" s="283" t="s">
        <v>1526</v>
      </c>
      <c r="AE564" s="283" t="s">
        <v>1525</v>
      </c>
      <c r="AF564" s="283" t="str">
        <f t="shared" si="84"/>
        <v>A679078</v>
      </c>
      <c r="AG564" s="283" t="str">
        <f>VLOOKUP(AF564,[2]AKT!$C$4:$E$324,3,FALSE)</f>
        <v>0942</v>
      </c>
    </row>
    <row r="565" spans="30:33">
      <c r="AD565" s="283" t="s">
        <v>1524</v>
      </c>
      <c r="AE565" s="283" t="s">
        <v>1523</v>
      </c>
      <c r="AF565" s="283" t="str">
        <f t="shared" si="84"/>
        <v>A679078</v>
      </c>
      <c r="AG565" s="283" t="str">
        <f>VLOOKUP(AF565,[2]AKT!$C$4:$E$324,3,FALSE)</f>
        <v>0942</v>
      </c>
    </row>
    <row r="566" spans="30:33">
      <c r="AD566" s="283" t="s">
        <v>1522</v>
      </c>
      <c r="AE566" s="283" t="s">
        <v>1521</v>
      </c>
      <c r="AF566" s="283" t="str">
        <f t="shared" si="84"/>
        <v>A679078</v>
      </c>
      <c r="AG566" s="283" t="str">
        <f>VLOOKUP(AF566,[2]AKT!$C$4:$E$324,3,FALSE)</f>
        <v>0942</v>
      </c>
    </row>
    <row r="567" spans="30:33">
      <c r="AD567" s="283" t="s">
        <v>1520</v>
      </c>
      <c r="AE567" s="283" t="s">
        <v>1519</v>
      </c>
      <c r="AF567" s="283" t="str">
        <f t="shared" si="84"/>
        <v>A679078</v>
      </c>
      <c r="AG567" s="283" t="str">
        <f>VLOOKUP(AF567,[2]AKT!$C$4:$E$324,3,FALSE)</f>
        <v>0942</v>
      </c>
    </row>
    <row r="568" spans="30:33">
      <c r="AD568" s="283" t="s">
        <v>1518</v>
      </c>
      <c r="AE568" s="283" t="s">
        <v>1517</v>
      </c>
      <c r="AF568" s="283" t="str">
        <f t="shared" si="84"/>
        <v>A679078</v>
      </c>
      <c r="AG568" s="283" t="str">
        <f>VLOOKUP(AF568,[2]AKT!$C$4:$E$324,3,FALSE)</f>
        <v>0942</v>
      </c>
    </row>
    <row r="569" spans="30:33">
      <c r="AD569" s="283" t="s">
        <v>1516</v>
      </c>
      <c r="AE569" s="283" t="s">
        <v>1515</v>
      </c>
      <c r="AF569" s="283" t="str">
        <f t="shared" si="84"/>
        <v>A679078</v>
      </c>
      <c r="AG569" s="283" t="str">
        <f>VLOOKUP(AF569,[2]AKT!$C$4:$E$324,3,FALSE)</f>
        <v>0942</v>
      </c>
    </row>
    <row r="570" spans="30:33">
      <c r="AD570" s="283" t="s">
        <v>1514</v>
      </c>
      <c r="AE570" s="283" t="s">
        <v>1513</v>
      </c>
      <c r="AF570" s="283" t="str">
        <f t="shared" si="84"/>
        <v>A679078</v>
      </c>
      <c r="AG570" s="283" t="str">
        <f>VLOOKUP(AF570,[2]AKT!$C$4:$E$324,3,FALSE)</f>
        <v>0942</v>
      </c>
    </row>
    <row r="571" spans="30:33">
      <c r="AD571" s="283" t="s">
        <v>1512</v>
      </c>
      <c r="AE571" s="283" t="s">
        <v>1511</v>
      </c>
      <c r="AF571" s="283" t="str">
        <f t="shared" ref="AF571:AF634" si="85">LEFT(AD571,7)</f>
        <v>A679078</v>
      </c>
      <c r="AG571" s="283" t="str">
        <f>VLOOKUP(AF571,[2]AKT!$C$4:$E$324,3,FALSE)</f>
        <v>0942</v>
      </c>
    </row>
    <row r="572" spans="30:33">
      <c r="AD572" s="283" t="s">
        <v>1510</v>
      </c>
      <c r="AE572" s="283" t="s">
        <v>1509</v>
      </c>
      <c r="AF572" s="283" t="str">
        <f t="shared" si="85"/>
        <v>A679078</v>
      </c>
      <c r="AG572" s="283" t="str">
        <f>VLOOKUP(AF572,[2]AKT!$C$4:$E$324,3,FALSE)</f>
        <v>0942</v>
      </c>
    </row>
    <row r="573" spans="30:33">
      <c r="AD573" s="283" t="s">
        <v>1508</v>
      </c>
      <c r="AE573" s="283" t="s">
        <v>1507</v>
      </c>
      <c r="AF573" s="283" t="str">
        <f t="shared" si="85"/>
        <v>A679078</v>
      </c>
      <c r="AG573" s="283" t="str">
        <f>VLOOKUP(AF573,[2]AKT!$C$4:$E$324,3,FALSE)</f>
        <v>0942</v>
      </c>
    </row>
    <row r="574" spans="30:33">
      <c r="AD574" s="283" t="s">
        <v>1506</v>
      </c>
      <c r="AE574" s="283" t="s">
        <v>1505</v>
      </c>
      <c r="AF574" s="283" t="str">
        <f t="shared" si="85"/>
        <v>A679078</v>
      </c>
      <c r="AG574" s="283" t="str">
        <f>VLOOKUP(AF574,[2]AKT!$C$4:$E$324,3,FALSE)</f>
        <v>0942</v>
      </c>
    </row>
    <row r="575" spans="30:33">
      <c r="AD575" s="283" t="s">
        <v>1504</v>
      </c>
      <c r="AE575" s="283" t="s">
        <v>1503</v>
      </c>
      <c r="AF575" s="283" t="str">
        <f t="shared" si="85"/>
        <v>A679078</v>
      </c>
      <c r="AG575" s="283" t="str">
        <f>VLOOKUP(AF575,[2]AKT!$C$4:$E$324,3,FALSE)</f>
        <v>0942</v>
      </c>
    </row>
    <row r="576" spans="30:33">
      <c r="AD576" s="283" t="s">
        <v>1502</v>
      </c>
      <c r="AE576" s="283" t="s">
        <v>1501</v>
      </c>
      <c r="AF576" s="283" t="str">
        <f t="shared" si="85"/>
        <v>A679078</v>
      </c>
      <c r="AG576" s="283" t="str">
        <f>VLOOKUP(AF576,[2]AKT!$C$4:$E$324,3,FALSE)</f>
        <v>0942</v>
      </c>
    </row>
    <row r="577" spans="30:33">
      <c r="AD577" s="283" t="s">
        <v>1500</v>
      </c>
      <c r="AE577" s="283" t="s">
        <v>1499</v>
      </c>
      <c r="AF577" s="283" t="str">
        <f t="shared" si="85"/>
        <v>A679078</v>
      </c>
      <c r="AG577" s="283" t="str">
        <f>VLOOKUP(AF577,[2]AKT!$C$4:$E$324,3,FALSE)</f>
        <v>0942</v>
      </c>
    </row>
    <row r="578" spans="30:33">
      <c r="AD578" s="283" t="s">
        <v>1498</v>
      </c>
      <c r="AE578" s="283" t="s">
        <v>1497</v>
      </c>
      <c r="AF578" s="283" t="str">
        <f t="shared" si="85"/>
        <v>A679078</v>
      </c>
      <c r="AG578" s="283" t="str">
        <f>VLOOKUP(AF578,[2]AKT!$C$4:$E$324,3,FALSE)</f>
        <v>0942</v>
      </c>
    </row>
    <row r="579" spans="30:33">
      <c r="AD579" s="283" t="s">
        <v>1496</v>
      </c>
      <c r="AE579" s="283" t="s">
        <v>1495</v>
      </c>
      <c r="AF579" s="283" t="str">
        <f t="shared" si="85"/>
        <v>A679078</v>
      </c>
      <c r="AG579" s="283" t="str">
        <f>VLOOKUP(AF579,[2]AKT!$C$4:$E$324,3,FALSE)</f>
        <v>0942</v>
      </c>
    </row>
    <row r="580" spans="30:33">
      <c r="AD580" s="283" t="s">
        <v>1494</v>
      </c>
      <c r="AE580" s="283" t="s">
        <v>1493</v>
      </c>
      <c r="AF580" s="283" t="str">
        <f t="shared" si="85"/>
        <v>A679078</v>
      </c>
      <c r="AG580" s="283" t="str">
        <f>VLOOKUP(AF580,[2]AKT!$C$4:$E$324,3,FALSE)</f>
        <v>0942</v>
      </c>
    </row>
    <row r="581" spans="30:33">
      <c r="AD581" s="283" t="s">
        <v>1492</v>
      </c>
      <c r="AE581" s="283" t="s">
        <v>1491</v>
      </c>
      <c r="AF581" s="283" t="str">
        <f t="shared" si="85"/>
        <v>A679078</v>
      </c>
      <c r="AG581" s="283" t="str">
        <f>VLOOKUP(AF581,[2]AKT!$C$4:$E$324,3,FALSE)</f>
        <v>0942</v>
      </c>
    </row>
    <row r="582" spans="30:33">
      <c r="AD582" s="283" t="s">
        <v>1490</v>
      </c>
      <c r="AE582" s="283" t="s">
        <v>1489</v>
      </c>
      <c r="AF582" s="283" t="str">
        <f t="shared" si="85"/>
        <v>A679078</v>
      </c>
      <c r="AG582" s="283" t="str">
        <f>VLOOKUP(AF582,[2]AKT!$C$4:$E$324,3,FALSE)</f>
        <v>0942</v>
      </c>
    </row>
    <row r="583" spans="30:33">
      <c r="AD583" s="283" t="s">
        <v>1488</v>
      </c>
      <c r="AE583" s="283" t="s">
        <v>1487</v>
      </c>
      <c r="AF583" s="283" t="str">
        <f t="shared" si="85"/>
        <v>A679078</v>
      </c>
      <c r="AG583" s="283" t="str">
        <f>VLOOKUP(AF583,[2]AKT!$C$4:$E$324,3,FALSE)</f>
        <v>0942</v>
      </c>
    </row>
    <row r="584" spans="30:33">
      <c r="AD584" s="283" t="s">
        <v>1486</v>
      </c>
      <c r="AE584" s="283" t="s">
        <v>1485</v>
      </c>
      <c r="AF584" s="283" t="str">
        <f t="shared" si="85"/>
        <v>A679078</v>
      </c>
      <c r="AG584" s="283" t="str">
        <f>VLOOKUP(AF584,[2]AKT!$C$4:$E$324,3,FALSE)</f>
        <v>0942</v>
      </c>
    </row>
    <row r="585" spans="30:33">
      <c r="AD585" s="283" t="s">
        <v>1484</v>
      </c>
      <c r="AE585" s="283" t="s">
        <v>1483</v>
      </c>
      <c r="AF585" s="283" t="str">
        <f t="shared" si="85"/>
        <v>A679078</v>
      </c>
      <c r="AG585" s="283" t="str">
        <f>VLOOKUP(AF585,[2]AKT!$C$4:$E$324,3,FALSE)</f>
        <v>0942</v>
      </c>
    </row>
    <row r="586" spans="30:33">
      <c r="AD586" s="283" t="s">
        <v>1482</v>
      </c>
      <c r="AE586" s="283" t="s">
        <v>1481</v>
      </c>
      <c r="AF586" s="283" t="str">
        <f t="shared" si="85"/>
        <v>A679078</v>
      </c>
      <c r="AG586" s="283" t="str">
        <f>VLOOKUP(AF586,[2]AKT!$C$4:$E$324,3,FALSE)</f>
        <v>0942</v>
      </c>
    </row>
    <row r="587" spans="30:33">
      <c r="AD587" s="283" t="s">
        <v>1480</v>
      </c>
      <c r="AE587" s="283" t="s">
        <v>1479</v>
      </c>
      <c r="AF587" s="283" t="str">
        <f t="shared" si="85"/>
        <v>A679078</v>
      </c>
      <c r="AG587" s="283" t="str">
        <f>VLOOKUP(AF587,[2]AKT!$C$4:$E$324,3,FALSE)</f>
        <v>0942</v>
      </c>
    </row>
    <row r="588" spans="30:33">
      <c r="AD588" s="283" t="s">
        <v>1478</v>
      </c>
      <c r="AE588" s="283" t="s">
        <v>1477</v>
      </c>
      <c r="AF588" s="283" t="str">
        <f t="shared" si="85"/>
        <v>A679078</v>
      </c>
      <c r="AG588" s="283" t="str">
        <f>VLOOKUP(AF588,[2]AKT!$C$4:$E$324,3,FALSE)</f>
        <v>0942</v>
      </c>
    </row>
    <row r="589" spans="30:33">
      <c r="AD589" s="283" t="s">
        <v>1476</v>
      </c>
      <c r="AE589" s="283" t="s">
        <v>1475</v>
      </c>
      <c r="AF589" s="283" t="str">
        <f t="shared" si="85"/>
        <v>A679078</v>
      </c>
      <c r="AG589" s="283" t="str">
        <f>VLOOKUP(AF589,[2]AKT!$C$4:$E$324,3,FALSE)</f>
        <v>0942</v>
      </c>
    </row>
    <row r="590" spans="30:33">
      <c r="AD590" s="283" t="s">
        <v>1474</v>
      </c>
      <c r="AE590" s="283" t="s">
        <v>1473</v>
      </c>
      <c r="AF590" s="283" t="str">
        <f t="shared" si="85"/>
        <v>A679078</v>
      </c>
      <c r="AG590" s="283" t="str">
        <f>VLOOKUP(AF590,[2]AKT!$C$4:$E$324,3,FALSE)</f>
        <v>0942</v>
      </c>
    </row>
    <row r="591" spans="30:33">
      <c r="AD591" s="283" t="s">
        <v>1472</v>
      </c>
      <c r="AE591" s="283" t="s">
        <v>1471</v>
      </c>
      <c r="AF591" s="283" t="str">
        <f t="shared" si="85"/>
        <v>A679078</v>
      </c>
      <c r="AG591" s="283" t="str">
        <f>VLOOKUP(AF591,[2]AKT!$C$4:$E$324,3,FALSE)</f>
        <v>0942</v>
      </c>
    </row>
    <row r="592" spans="30:33">
      <c r="AD592" s="283" t="s">
        <v>1470</v>
      </c>
      <c r="AE592" s="283" t="s">
        <v>1469</v>
      </c>
      <c r="AF592" s="283" t="str">
        <f t="shared" si="85"/>
        <v>A679078</v>
      </c>
      <c r="AG592" s="283" t="str">
        <f>VLOOKUP(AF592,[2]AKT!$C$4:$E$324,3,FALSE)</f>
        <v>0942</v>
      </c>
    </row>
    <row r="593" spans="30:33">
      <c r="AD593" s="283" t="s">
        <v>1468</v>
      </c>
      <c r="AE593" s="283" t="s">
        <v>1467</v>
      </c>
      <c r="AF593" s="283" t="str">
        <f t="shared" si="85"/>
        <v>A679078</v>
      </c>
      <c r="AG593" s="283" t="str">
        <f>VLOOKUP(AF593,[2]AKT!$C$4:$E$324,3,FALSE)</f>
        <v>0942</v>
      </c>
    </row>
    <row r="594" spans="30:33">
      <c r="AD594" s="283" t="s">
        <v>1466</v>
      </c>
      <c r="AE594" s="283" t="s">
        <v>1465</v>
      </c>
      <c r="AF594" s="283" t="str">
        <f t="shared" si="85"/>
        <v>A679078</v>
      </c>
      <c r="AG594" s="283" t="str">
        <f>VLOOKUP(AF594,[2]AKT!$C$4:$E$324,3,FALSE)</f>
        <v>0942</v>
      </c>
    </row>
    <row r="595" spans="30:33">
      <c r="AD595" s="283" t="s">
        <v>1464</v>
      </c>
      <c r="AE595" s="283" t="s">
        <v>1463</v>
      </c>
      <c r="AF595" s="283" t="str">
        <f t="shared" si="85"/>
        <v>A679078</v>
      </c>
      <c r="AG595" s="283" t="str">
        <f>VLOOKUP(AF595,[2]AKT!$C$4:$E$324,3,FALSE)</f>
        <v>0942</v>
      </c>
    </row>
    <row r="596" spans="30:33">
      <c r="AD596" s="283" t="s">
        <v>1462</v>
      </c>
      <c r="AE596" s="283" t="s">
        <v>1461</v>
      </c>
      <c r="AF596" s="283" t="str">
        <f t="shared" si="85"/>
        <v>A679078</v>
      </c>
      <c r="AG596" s="283" t="str">
        <f>VLOOKUP(AF596,[2]AKT!$C$4:$E$324,3,FALSE)</f>
        <v>0942</v>
      </c>
    </row>
    <row r="597" spans="30:33">
      <c r="AD597" s="283" t="s">
        <v>1460</v>
      </c>
      <c r="AE597" s="283" t="s">
        <v>1459</v>
      </c>
      <c r="AF597" s="283" t="str">
        <f t="shared" si="85"/>
        <v>A679078</v>
      </c>
      <c r="AG597" s="283" t="str">
        <f>VLOOKUP(AF597,[2]AKT!$C$4:$E$324,3,FALSE)</f>
        <v>0942</v>
      </c>
    </row>
    <row r="598" spans="30:33">
      <c r="AD598" s="283" t="s">
        <v>1458</v>
      </c>
      <c r="AE598" s="283" t="s">
        <v>1457</v>
      </c>
      <c r="AF598" s="283" t="str">
        <f t="shared" si="85"/>
        <v>A679078</v>
      </c>
      <c r="AG598" s="283" t="str">
        <f>VLOOKUP(AF598,[2]AKT!$C$4:$E$324,3,FALSE)</f>
        <v>0942</v>
      </c>
    </row>
    <row r="599" spans="30:33">
      <c r="AD599" s="283" t="s">
        <v>1456</v>
      </c>
      <c r="AE599" s="283" t="s">
        <v>1455</v>
      </c>
      <c r="AF599" s="283" t="str">
        <f t="shared" si="85"/>
        <v>A679078</v>
      </c>
      <c r="AG599" s="283" t="str">
        <f>VLOOKUP(AF599,[2]AKT!$C$4:$E$324,3,FALSE)</f>
        <v>0942</v>
      </c>
    </row>
    <row r="600" spans="30:33">
      <c r="AD600" s="283" t="s">
        <v>1454</v>
      </c>
      <c r="AE600" s="283" t="s">
        <v>1453</v>
      </c>
      <c r="AF600" s="283" t="str">
        <f t="shared" si="85"/>
        <v>A679078</v>
      </c>
      <c r="AG600" s="283" t="str">
        <f>VLOOKUP(AF600,[2]AKT!$C$4:$E$324,3,FALSE)</f>
        <v>0942</v>
      </c>
    </row>
    <row r="601" spans="30:33">
      <c r="AD601" s="283" t="s">
        <v>1452</v>
      </c>
      <c r="AE601" s="283" t="s">
        <v>1451</v>
      </c>
      <c r="AF601" s="283" t="str">
        <f t="shared" si="85"/>
        <v>A679078</v>
      </c>
      <c r="AG601" s="283" t="str">
        <f>VLOOKUP(AF601,[2]AKT!$C$4:$E$324,3,FALSE)</f>
        <v>0942</v>
      </c>
    </row>
    <row r="602" spans="30:33">
      <c r="AD602" s="283" t="s">
        <v>1450</v>
      </c>
      <c r="AE602" s="283" t="s">
        <v>1449</v>
      </c>
      <c r="AF602" s="283" t="str">
        <f t="shared" si="85"/>
        <v>A679078</v>
      </c>
      <c r="AG602" s="283" t="str">
        <f>VLOOKUP(AF602,[2]AKT!$C$4:$E$324,3,FALSE)</f>
        <v>0942</v>
      </c>
    </row>
    <row r="603" spans="30:33">
      <c r="AD603" s="283" t="s">
        <v>1448</v>
      </c>
      <c r="AE603" s="283" t="s">
        <v>1447</v>
      </c>
      <c r="AF603" s="283" t="str">
        <f t="shared" si="85"/>
        <v>A679078</v>
      </c>
      <c r="AG603" s="283" t="str">
        <f>VLOOKUP(AF603,[2]AKT!$C$4:$E$324,3,FALSE)</f>
        <v>0942</v>
      </c>
    </row>
    <row r="604" spans="30:33">
      <c r="AD604" s="283" t="s">
        <v>1446</v>
      </c>
      <c r="AE604" s="283" t="s">
        <v>1445</v>
      </c>
      <c r="AF604" s="283" t="str">
        <f t="shared" si="85"/>
        <v>A679078</v>
      </c>
      <c r="AG604" s="283" t="str">
        <f>VLOOKUP(AF604,[2]AKT!$C$4:$E$324,3,FALSE)</f>
        <v>0942</v>
      </c>
    </row>
    <row r="605" spans="30:33">
      <c r="AD605" s="283" t="s">
        <v>1444</v>
      </c>
      <c r="AE605" s="283" t="s">
        <v>1443</v>
      </c>
      <c r="AF605" s="283" t="str">
        <f t="shared" si="85"/>
        <v>A679078</v>
      </c>
      <c r="AG605" s="283" t="str">
        <f>VLOOKUP(AF605,[2]AKT!$C$4:$E$324,3,FALSE)</f>
        <v>0942</v>
      </c>
    </row>
    <row r="606" spans="30:33">
      <c r="AD606" s="283" t="s">
        <v>1442</v>
      </c>
      <c r="AE606" s="283" t="s">
        <v>1441</v>
      </c>
      <c r="AF606" s="283" t="str">
        <f t="shared" si="85"/>
        <v>A679078</v>
      </c>
      <c r="AG606" s="283" t="str">
        <f>VLOOKUP(AF606,[2]AKT!$C$4:$E$324,3,FALSE)</f>
        <v>0942</v>
      </c>
    </row>
    <row r="607" spans="30:33">
      <c r="AD607" s="283" t="s">
        <v>1440</v>
      </c>
      <c r="AE607" s="283" t="s">
        <v>1439</v>
      </c>
      <c r="AF607" s="283" t="str">
        <f t="shared" si="85"/>
        <v>A679078</v>
      </c>
      <c r="AG607" s="283" t="str">
        <f>VLOOKUP(AF607,[2]AKT!$C$4:$E$324,3,FALSE)</f>
        <v>0942</v>
      </c>
    </row>
    <row r="608" spans="30:33">
      <c r="AD608" s="283" t="s">
        <v>1438</v>
      </c>
      <c r="AE608" s="283" t="s">
        <v>1437</v>
      </c>
      <c r="AF608" s="283" t="str">
        <f t="shared" si="85"/>
        <v>A679078</v>
      </c>
      <c r="AG608" s="283" t="str">
        <f>VLOOKUP(AF608,[2]AKT!$C$4:$E$324,3,FALSE)</f>
        <v>0942</v>
      </c>
    </row>
    <row r="609" spans="30:33">
      <c r="AD609" s="283" t="s">
        <v>1436</v>
      </c>
      <c r="AE609" s="283" t="s">
        <v>1435</v>
      </c>
      <c r="AF609" s="283" t="str">
        <f t="shared" si="85"/>
        <v>A679078</v>
      </c>
      <c r="AG609" s="283" t="str">
        <f>VLOOKUP(AF609,[2]AKT!$C$4:$E$324,3,FALSE)</f>
        <v>0942</v>
      </c>
    </row>
    <row r="610" spans="30:33">
      <c r="AD610" s="283" t="s">
        <v>1434</v>
      </c>
      <c r="AE610" s="283" t="s">
        <v>1433</v>
      </c>
      <c r="AF610" s="283" t="str">
        <f t="shared" si="85"/>
        <v>A679078</v>
      </c>
      <c r="AG610" s="283" t="str">
        <f>VLOOKUP(AF610,[2]AKT!$C$4:$E$324,3,FALSE)</f>
        <v>0942</v>
      </c>
    </row>
    <row r="611" spans="30:33">
      <c r="AD611" s="283" t="s">
        <v>1432</v>
      </c>
      <c r="AE611" s="283" t="s">
        <v>1431</v>
      </c>
      <c r="AF611" s="283" t="str">
        <f t="shared" si="85"/>
        <v>A679078</v>
      </c>
      <c r="AG611" s="283" t="str">
        <f>VLOOKUP(AF611,[2]AKT!$C$4:$E$324,3,FALSE)</f>
        <v>0942</v>
      </c>
    </row>
    <row r="612" spans="30:33">
      <c r="AD612" s="283" t="s">
        <v>1430</v>
      </c>
      <c r="AE612" s="283" t="s">
        <v>1429</v>
      </c>
      <c r="AF612" s="283" t="str">
        <f t="shared" si="85"/>
        <v>A679078</v>
      </c>
      <c r="AG612" s="283" t="str">
        <f>VLOOKUP(AF612,[2]AKT!$C$4:$E$324,3,FALSE)</f>
        <v>0942</v>
      </c>
    </row>
    <row r="613" spans="30:33">
      <c r="AD613" s="283" t="s">
        <v>1428</v>
      </c>
      <c r="AE613" s="283" t="s">
        <v>1427</v>
      </c>
      <c r="AF613" s="283" t="str">
        <f t="shared" si="85"/>
        <v>A679078</v>
      </c>
      <c r="AG613" s="283" t="str">
        <f>VLOOKUP(AF613,[2]AKT!$C$4:$E$324,3,FALSE)</f>
        <v>0942</v>
      </c>
    </row>
    <row r="614" spans="30:33">
      <c r="AD614" s="283" t="s">
        <v>1426</v>
      </c>
      <c r="AE614" s="283" t="s">
        <v>940</v>
      </c>
      <c r="AF614" s="283" t="str">
        <f t="shared" si="85"/>
        <v>A679078</v>
      </c>
      <c r="AG614" s="283" t="str">
        <f>VLOOKUP(AF614,[2]AKT!$C$4:$E$324,3,FALSE)</f>
        <v>0942</v>
      </c>
    </row>
    <row r="615" spans="30:33">
      <c r="AD615" s="283" t="s">
        <v>1425</v>
      </c>
      <c r="AE615" s="283" t="s">
        <v>1424</v>
      </c>
      <c r="AF615" s="283" t="str">
        <f t="shared" si="85"/>
        <v>A679078</v>
      </c>
      <c r="AG615" s="283" t="str">
        <f>VLOOKUP(AF615,[2]AKT!$C$4:$E$324,3,FALSE)</f>
        <v>0942</v>
      </c>
    </row>
    <row r="616" spans="30:33">
      <c r="AD616" s="283" t="s">
        <v>1423</v>
      </c>
      <c r="AE616" s="283" t="s">
        <v>1422</v>
      </c>
      <c r="AF616" s="283" t="str">
        <f t="shared" si="85"/>
        <v>A679078</v>
      </c>
      <c r="AG616" s="283" t="str">
        <f>VLOOKUP(AF616,[2]AKT!$C$4:$E$324,3,FALSE)</f>
        <v>0942</v>
      </c>
    </row>
    <row r="617" spans="30:33">
      <c r="AD617" s="283" t="s">
        <v>1421</v>
      </c>
      <c r="AE617" s="283" t="s">
        <v>1420</v>
      </c>
      <c r="AF617" s="283" t="str">
        <f t="shared" si="85"/>
        <v>A679078</v>
      </c>
      <c r="AG617" s="283" t="str">
        <f>VLOOKUP(AF617,[2]AKT!$C$4:$E$324,3,FALSE)</f>
        <v>0942</v>
      </c>
    </row>
    <row r="618" spans="30:33">
      <c r="AD618" s="283" t="s">
        <v>1419</v>
      </c>
      <c r="AE618" s="283" t="s">
        <v>1418</v>
      </c>
      <c r="AF618" s="283" t="str">
        <f t="shared" si="85"/>
        <v>A679078</v>
      </c>
      <c r="AG618" s="283" t="str">
        <f>VLOOKUP(AF618,[2]AKT!$C$4:$E$324,3,FALSE)</f>
        <v>0942</v>
      </c>
    </row>
    <row r="619" spans="30:33">
      <c r="AD619" s="283" t="s">
        <v>1417</v>
      </c>
      <c r="AE619" s="283" t="s">
        <v>1416</v>
      </c>
      <c r="AF619" s="283" t="str">
        <f t="shared" si="85"/>
        <v>A679078</v>
      </c>
      <c r="AG619" s="283" t="str">
        <f>VLOOKUP(AF619,[2]AKT!$C$4:$E$324,3,FALSE)</f>
        <v>0942</v>
      </c>
    </row>
    <row r="620" spans="30:33">
      <c r="AD620" s="283" t="s">
        <v>1415</v>
      </c>
      <c r="AE620" s="283" t="s">
        <v>1414</v>
      </c>
      <c r="AF620" s="283" t="str">
        <f t="shared" si="85"/>
        <v>A679078</v>
      </c>
      <c r="AG620" s="283" t="str">
        <f>VLOOKUP(AF620,[2]AKT!$C$4:$E$324,3,FALSE)</f>
        <v>0942</v>
      </c>
    </row>
    <row r="621" spans="30:33">
      <c r="AD621" s="283" t="s">
        <v>1413</v>
      </c>
      <c r="AE621" s="283" t="s">
        <v>1412</v>
      </c>
      <c r="AF621" s="283" t="str">
        <f t="shared" si="85"/>
        <v>A679078</v>
      </c>
      <c r="AG621" s="283" t="str">
        <f>VLOOKUP(AF621,[2]AKT!$C$4:$E$324,3,FALSE)</f>
        <v>0942</v>
      </c>
    </row>
    <row r="622" spans="30:33">
      <c r="AD622" s="283" t="s">
        <v>1411</v>
      </c>
      <c r="AE622" s="283" t="s">
        <v>1410</v>
      </c>
      <c r="AF622" s="283" t="str">
        <f t="shared" si="85"/>
        <v>A679078</v>
      </c>
      <c r="AG622" s="283" t="str">
        <f>VLOOKUP(AF622,[2]AKT!$C$4:$E$324,3,FALSE)</f>
        <v>0942</v>
      </c>
    </row>
    <row r="623" spans="30:33">
      <c r="AD623" s="283" t="s">
        <v>1409</v>
      </c>
      <c r="AE623" s="283" t="s">
        <v>1408</v>
      </c>
      <c r="AF623" s="283" t="str">
        <f t="shared" si="85"/>
        <v>A679078</v>
      </c>
      <c r="AG623" s="283" t="str">
        <f>VLOOKUP(AF623,[2]AKT!$C$4:$E$324,3,FALSE)</f>
        <v>0942</v>
      </c>
    </row>
    <row r="624" spans="30:33">
      <c r="AD624" s="283" t="s">
        <v>1407</v>
      </c>
      <c r="AE624" s="283" t="s">
        <v>1406</v>
      </c>
      <c r="AF624" s="283" t="str">
        <f t="shared" si="85"/>
        <v>A679078</v>
      </c>
      <c r="AG624" s="283" t="str">
        <f>VLOOKUP(AF624,[2]AKT!$C$4:$E$324,3,FALSE)</f>
        <v>0942</v>
      </c>
    </row>
    <row r="625" spans="30:33">
      <c r="AD625" s="283" t="s">
        <v>1405</v>
      </c>
      <c r="AE625" s="283" t="s">
        <v>1404</v>
      </c>
      <c r="AF625" s="283" t="str">
        <f t="shared" si="85"/>
        <v>A679078</v>
      </c>
      <c r="AG625" s="283" t="str">
        <f>VLOOKUP(AF625,[2]AKT!$C$4:$E$324,3,FALSE)</f>
        <v>0942</v>
      </c>
    </row>
    <row r="626" spans="30:33">
      <c r="AD626" s="283" t="s">
        <v>1403</v>
      </c>
      <c r="AE626" s="283" t="s">
        <v>1402</v>
      </c>
      <c r="AF626" s="283" t="str">
        <f t="shared" si="85"/>
        <v>A679078</v>
      </c>
      <c r="AG626" s="283" t="str">
        <f>VLOOKUP(AF626,[2]AKT!$C$4:$E$324,3,FALSE)</f>
        <v>0942</v>
      </c>
    </row>
    <row r="627" spans="30:33">
      <c r="AD627" s="283" t="s">
        <v>1401</v>
      </c>
      <c r="AE627" s="283" t="s">
        <v>1400</v>
      </c>
      <c r="AF627" s="283" t="str">
        <f t="shared" si="85"/>
        <v>A679078</v>
      </c>
      <c r="AG627" s="283" t="str">
        <f>VLOOKUP(AF627,[2]AKT!$C$4:$E$324,3,FALSE)</f>
        <v>0942</v>
      </c>
    </row>
    <row r="628" spans="30:33">
      <c r="AD628" s="283" t="s">
        <v>1399</v>
      </c>
      <c r="AE628" s="283" t="s">
        <v>1398</v>
      </c>
      <c r="AF628" s="283" t="str">
        <f t="shared" si="85"/>
        <v>A679078</v>
      </c>
      <c r="AG628" s="283" t="str">
        <f>VLOOKUP(AF628,[2]AKT!$C$4:$E$324,3,FALSE)</f>
        <v>0942</v>
      </c>
    </row>
    <row r="629" spans="30:33">
      <c r="AD629" s="283" t="s">
        <v>1397</v>
      </c>
      <c r="AE629" s="283" t="s">
        <v>1396</v>
      </c>
      <c r="AF629" s="283" t="str">
        <f t="shared" si="85"/>
        <v>A679078</v>
      </c>
      <c r="AG629" s="283" t="str">
        <f>VLOOKUP(AF629,[2]AKT!$C$4:$E$324,3,FALSE)</f>
        <v>0942</v>
      </c>
    </row>
    <row r="630" spans="30:33">
      <c r="AD630" s="283" t="s">
        <v>1395</v>
      </c>
      <c r="AE630" s="283" t="s">
        <v>1394</v>
      </c>
      <c r="AF630" s="283" t="str">
        <f t="shared" si="85"/>
        <v>A679078</v>
      </c>
      <c r="AG630" s="283" t="str">
        <f>VLOOKUP(AF630,[2]AKT!$C$4:$E$324,3,FALSE)</f>
        <v>0942</v>
      </c>
    </row>
    <row r="631" spans="30:33">
      <c r="AD631" s="283" t="s">
        <v>1393</v>
      </c>
      <c r="AE631" s="283" t="s">
        <v>1392</v>
      </c>
      <c r="AF631" s="283" t="str">
        <f t="shared" si="85"/>
        <v>A679078</v>
      </c>
      <c r="AG631" s="283" t="str">
        <f>VLOOKUP(AF631,[2]AKT!$C$4:$E$324,3,FALSE)</f>
        <v>0942</v>
      </c>
    </row>
    <row r="632" spans="30:33">
      <c r="AD632" s="283" t="s">
        <v>1391</v>
      </c>
      <c r="AE632" s="283" t="s">
        <v>1390</v>
      </c>
      <c r="AF632" s="283" t="str">
        <f t="shared" si="85"/>
        <v>A679078</v>
      </c>
      <c r="AG632" s="283" t="str">
        <f>VLOOKUP(AF632,[2]AKT!$C$4:$E$324,3,FALSE)</f>
        <v>0942</v>
      </c>
    </row>
    <row r="633" spans="30:33">
      <c r="AD633" s="283" t="s">
        <v>1389</v>
      </c>
      <c r="AE633" s="283" t="s">
        <v>1388</v>
      </c>
      <c r="AF633" s="283" t="str">
        <f t="shared" si="85"/>
        <v>A679078</v>
      </c>
      <c r="AG633" s="283" t="str">
        <f>VLOOKUP(AF633,[2]AKT!$C$4:$E$324,3,FALSE)</f>
        <v>0942</v>
      </c>
    </row>
    <row r="634" spans="30:33">
      <c r="AD634" s="283" t="s">
        <v>1387</v>
      </c>
      <c r="AE634" s="283" t="s">
        <v>1386</v>
      </c>
      <c r="AF634" s="283" t="str">
        <f t="shared" si="85"/>
        <v>A679078</v>
      </c>
      <c r="AG634" s="283" t="str">
        <f>VLOOKUP(AF634,[2]AKT!$C$4:$E$324,3,FALSE)</f>
        <v>0942</v>
      </c>
    </row>
    <row r="635" spans="30:33">
      <c r="AD635" s="283" t="s">
        <v>1385</v>
      </c>
      <c r="AE635" s="283" t="s">
        <v>1384</v>
      </c>
      <c r="AF635" s="283" t="str">
        <f t="shared" ref="AF635:AF698" si="86">LEFT(AD635,7)</f>
        <v>A679078</v>
      </c>
      <c r="AG635" s="283" t="str">
        <f>VLOOKUP(AF635,[2]AKT!$C$4:$E$324,3,FALSE)</f>
        <v>0942</v>
      </c>
    </row>
    <row r="636" spans="30:33">
      <c r="AD636" s="283" t="s">
        <v>1383</v>
      </c>
      <c r="AE636" s="283" t="s">
        <v>1382</v>
      </c>
      <c r="AF636" s="283" t="str">
        <f t="shared" si="86"/>
        <v>A679078</v>
      </c>
      <c r="AG636" s="283" t="str">
        <f>VLOOKUP(AF636,[2]AKT!$C$4:$E$324,3,FALSE)</f>
        <v>0942</v>
      </c>
    </row>
    <row r="637" spans="30:33">
      <c r="AD637" s="283" t="s">
        <v>1381</v>
      </c>
      <c r="AE637" s="283" t="s">
        <v>1380</v>
      </c>
      <c r="AF637" s="283" t="str">
        <f t="shared" si="86"/>
        <v>A679078</v>
      </c>
      <c r="AG637" s="283" t="str">
        <f>VLOOKUP(AF637,[2]AKT!$C$4:$E$324,3,FALSE)</f>
        <v>0942</v>
      </c>
    </row>
    <row r="638" spans="30:33">
      <c r="AD638" s="283" t="s">
        <v>1379</v>
      </c>
      <c r="AE638" s="283" t="s">
        <v>1378</v>
      </c>
      <c r="AF638" s="283" t="str">
        <f t="shared" si="86"/>
        <v>A679078</v>
      </c>
      <c r="AG638" s="283" t="str">
        <f>VLOOKUP(AF638,[2]AKT!$C$4:$E$324,3,FALSE)</f>
        <v>0942</v>
      </c>
    </row>
    <row r="639" spans="30:33">
      <c r="AD639" s="283" t="s">
        <v>1377</v>
      </c>
      <c r="AE639" s="283" t="s">
        <v>1376</v>
      </c>
      <c r="AF639" s="283" t="str">
        <f t="shared" si="86"/>
        <v>A679078</v>
      </c>
      <c r="AG639" s="283" t="str">
        <f>VLOOKUP(AF639,[2]AKT!$C$4:$E$324,3,FALSE)</f>
        <v>0942</v>
      </c>
    </row>
    <row r="640" spans="30:33">
      <c r="AD640" s="283" t="s">
        <v>1375</v>
      </c>
      <c r="AE640" s="283" t="s">
        <v>1374</v>
      </c>
      <c r="AF640" s="283" t="str">
        <f t="shared" si="86"/>
        <v>A679078</v>
      </c>
      <c r="AG640" s="283" t="str">
        <f>VLOOKUP(AF640,[2]AKT!$C$4:$E$324,3,FALSE)</f>
        <v>0942</v>
      </c>
    </row>
    <row r="641" spans="30:33">
      <c r="AD641" s="283" t="s">
        <v>1373</v>
      </c>
      <c r="AE641" s="283" t="s">
        <v>1372</v>
      </c>
      <c r="AF641" s="283" t="str">
        <f t="shared" si="86"/>
        <v>A679078</v>
      </c>
      <c r="AG641" s="283" t="str">
        <f>VLOOKUP(AF641,[2]AKT!$C$4:$E$324,3,FALSE)</f>
        <v>0942</v>
      </c>
    </row>
    <row r="642" spans="30:33">
      <c r="AD642" s="283" t="s">
        <v>1371</v>
      </c>
      <c r="AE642" s="283" t="s">
        <v>1370</v>
      </c>
      <c r="AF642" s="283" t="str">
        <f t="shared" si="86"/>
        <v>A679078</v>
      </c>
      <c r="AG642" s="283" t="str">
        <f>VLOOKUP(AF642,[2]AKT!$C$4:$E$324,3,FALSE)</f>
        <v>0942</v>
      </c>
    </row>
    <row r="643" spans="30:33">
      <c r="AD643" s="283" t="s">
        <v>1369</v>
      </c>
      <c r="AE643" s="283" t="s">
        <v>1368</v>
      </c>
      <c r="AF643" s="283" t="str">
        <f t="shared" si="86"/>
        <v>A679078</v>
      </c>
      <c r="AG643" s="283" t="str">
        <f>VLOOKUP(AF643,[2]AKT!$C$4:$E$324,3,FALSE)</f>
        <v>0942</v>
      </c>
    </row>
    <row r="644" spans="30:33">
      <c r="AD644" s="283" t="s">
        <v>1367</v>
      </c>
      <c r="AE644" s="283" t="s">
        <v>1366</v>
      </c>
      <c r="AF644" s="283" t="str">
        <f t="shared" si="86"/>
        <v>A679078</v>
      </c>
      <c r="AG644" s="283" t="str">
        <f>VLOOKUP(AF644,[2]AKT!$C$4:$E$324,3,FALSE)</f>
        <v>0942</v>
      </c>
    </row>
    <row r="645" spans="30:33">
      <c r="AD645" s="283" t="s">
        <v>1365</v>
      </c>
      <c r="AE645" s="283" t="s">
        <v>1364</v>
      </c>
      <c r="AF645" s="283" t="str">
        <f t="shared" si="86"/>
        <v>A679078</v>
      </c>
      <c r="AG645" s="283" t="str">
        <f>VLOOKUP(AF645,[2]AKT!$C$4:$E$324,3,FALSE)</f>
        <v>0942</v>
      </c>
    </row>
    <row r="646" spans="30:33">
      <c r="AD646" s="283" t="s">
        <v>1363</v>
      </c>
      <c r="AE646" s="283" t="s">
        <v>1362</v>
      </c>
      <c r="AF646" s="283" t="str">
        <f t="shared" si="86"/>
        <v>A679078</v>
      </c>
      <c r="AG646" s="283" t="str">
        <f>VLOOKUP(AF646,[2]AKT!$C$4:$E$324,3,FALSE)</f>
        <v>0942</v>
      </c>
    </row>
    <row r="647" spans="30:33">
      <c r="AD647" s="283" t="s">
        <v>1361</v>
      </c>
      <c r="AE647" s="283" t="s">
        <v>1360</v>
      </c>
      <c r="AF647" s="283" t="str">
        <f t="shared" si="86"/>
        <v>A679078</v>
      </c>
      <c r="AG647" s="283" t="str">
        <f>VLOOKUP(AF647,[2]AKT!$C$4:$E$324,3,FALSE)</f>
        <v>0942</v>
      </c>
    </row>
    <row r="648" spans="30:33">
      <c r="AD648" s="283" t="s">
        <v>1359</v>
      </c>
      <c r="AE648" s="283" t="s">
        <v>1358</v>
      </c>
      <c r="AF648" s="283" t="str">
        <f t="shared" si="86"/>
        <v>A679078</v>
      </c>
      <c r="AG648" s="283" t="str">
        <f>VLOOKUP(AF648,[2]AKT!$C$4:$E$324,3,FALSE)</f>
        <v>0942</v>
      </c>
    </row>
    <row r="649" spans="30:33">
      <c r="AD649" s="283" t="s">
        <v>1357</v>
      </c>
      <c r="AE649" s="283" t="s">
        <v>1356</v>
      </c>
      <c r="AF649" s="283" t="str">
        <f t="shared" si="86"/>
        <v>A679078</v>
      </c>
      <c r="AG649" s="283" t="str">
        <f>VLOOKUP(AF649,[2]AKT!$C$4:$E$324,3,FALSE)</f>
        <v>0942</v>
      </c>
    </row>
    <row r="650" spans="30:33">
      <c r="AD650" s="283" t="s">
        <v>1355</v>
      </c>
      <c r="AE650" s="283" t="s">
        <v>1354</v>
      </c>
      <c r="AF650" s="283" t="str">
        <f t="shared" si="86"/>
        <v>A679078</v>
      </c>
      <c r="AG650" s="283" t="str">
        <f>VLOOKUP(AF650,[2]AKT!$C$4:$E$324,3,FALSE)</f>
        <v>0942</v>
      </c>
    </row>
    <row r="651" spans="30:33">
      <c r="AD651" s="283" t="s">
        <v>1353</v>
      </c>
      <c r="AE651" s="283" t="s">
        <v>1352</v>
      </c>
      <c r="AF651" s="283" t="str">
        <f t="shared" si="86"/>
        <v>A679078</v>
      </c>
      <c r="AG651" s="283" t="str">
        <f>VLOOKUP(AF651,[2]AKT!$C$4:$E$324,3,FALSE)</f>
        <v>0942</v>
      </c>
    </row>
    <row r="652" spans="30:33">
      <c r="AD652" s="283" t="s">
        <v>1351</v>
      </c>
      <c r="AE652" s="283" t="s">
        <v>1350</v>
      </c>
      <c r="AF652" s="283" t="str">
        <f t="shared" si="86"/>
        <v>A679078</v>
      </c>
      <c r="AG652" s="283" t="str">
        <f>VLOOKUP(AF652,[2]AKT!$C$4:$E$324,3,FALSE)</f>
        <v>0942</v>
      </c>
    </row>
    <row r="653" spans="30:33">
      <c r="AD653" s="283" t="s">
        <v>1349</v>
      </c>
      <c r="AE653" s="283" t="s">
        <v>1348</v>
      </c>
      <c r="AF653" s="283" t="str">
        <f t="shared" si="86"/>
        <v>A679078</v>
      </c>
      <c r="AG653" s="283" t="str">
        <f>VLOOKUP(AF653,[2]AKT!$C$4:$E$324,3,FALSE)</f>
        <v>0942</v>
      </c>
    </row>
    <row r="654" spans="30:33">
      <c r="AD654" s="283" t="s">
        <v>1347</v>
      </c>
      <c r="AE654" s="283" t="s">
        <v>1346</v>
      </c>
      <c r="AF654" s="283" t="str">
        <f t="shared" si="86"/>
        <v>A679078</v>
      </c>
      <c r="AG654" s="283" t="str">
        <f>VLOOKUP(AF654,[2]AKT!$C$4:$E$324,3,FALSE)</f>
        <v>0942</v>
      </c>
    </row>
    <row r="655" spans="30:33">
      <c r="AD655" s="283" t="s">
        <v>1345</v>
      </c>
      <c r="AE655" s="283" t="s">
        <v>1344</v>
      </c>
      <c r="AF655" s="283" t="str">
        <f t="shared" si="86"/>
        <v>A679078</v>
      </c>
      <c r="AG655" s="283" t="str">
        <f>VLOOKUP(AF655,[2]AKT!$C$4:$E$324,3,FALSE)</f>
        <v>0942</v>
      </c>
    </row>
    <row r="656" spans="30:33">
      <c r="AD656" s="283" t="s">
        <v>1343</v>
      </c>
      <c r="AE656" s="283" t="s">
        <v>1342</v>
      </c>
      <c r="AF656" s="283" t="str">
        <f t="shared" si="86"/>
        <v>A679078</v>
      </c>
      <c r="AG656" s="283" t="str">
        <f>VLOOKUP(AF656,[2]AKT!$C$4:$E$324,3,FALSE)</f>
        <v>0942</v>
      </c>
    </row>
    <row r="657" spans="30:33">
      <c r="AD657" s="283" t="s">
        <v>1341</v>
      </c>
      <c r="AE657" s="283" t="s">
        <v>1340</v>
      </c>
      <c r="AF657" s="283" t="str">
        <f t="shared" si="86"/>
        <v>A679078</v>
      </c>
      <c r="AG657" s="283" t="str">
        <f>VLOOKUP(AF657,[2]AKT!$C$4:$E$324,3,FALSE)</f>
        <v>0942</v>
      </c>
    </row>
    <row r="658" spans="30:33">
      <c r="AD658" s="283" t="s">
        <v>1339</v>
      </c>
      <c r="AE658" s="283" t="s">
        <v>1338</v>
      </c>
      <c r="AF658" s="283" t="str">
        <f t="shared" si="86"/>
        <v>A679078</v>
      </c>
      <c r="AG658" s="283" t="str">
        <f>VLOOKUP(AF658,[2]AKT!$C$4:$E$324,3,FALSE)</f>
        <v>0942</v>
      </c>
    </row>
    <row r="659" spans="30:33">
      <c r="AD659" s="283" t="s">
        <v>1337</v>
      </c>
      <c r="AE659" s="283" t="s">
        <v>1336</v>
      </c>
      <c r="AF659" s="283" t="str">
        <f t="shared" si="86"/>
        <v>A679078</v>
      </c>
      <c r="AG659" s="283" t="str">
        <f>VLOOKUP(AF659,[2]AKT!$C$4:$E$324,3,FALSE)</f>
        <v>0942</v>
      </c>
    </row>
    <row r="660" spans="30:33">
      <c r="AD660" s="283" t="s">
        <v>1335</v>
      </c>
      <c r="AE660" s="283" t="s">
        <v>1334</v>
      </c>
      <c r="AF660" s="283" t="str">
        <f t="shared" si="86"/>
        <v>A679078</v>
      </c>
      <c r="AG660" s="283" t="str">
        <f>VLOOKUP(AF660,[2]AKT!$C$4:$E$324,3,FALSE)</f>
        <v>0942</v>
      </c>
    </row>
    <row r="661" spans="30:33">
      <c r="AD661" s="283" t="s">
        <v>1333</v>
      </c>
      <c r="AE661" s="283" t="s">
        <v>1332</v>
      </c>
      <c r="AF661" s="283" t="str">
        <f t="shared" si="86"/>
        <v>A679078</v>
      </c>
      <c r="AG661" s="283" t="str">
        <f>VLOOKUP(AF661,[2]AKT!$C$4:$E$324,3,FALSE)</f>
        <v>0942</v>
      </c>
    </row>
    <row r="662" spans="30:33">
      <c r="AD662" s="283" t="s">
        <v>1331</v>
      </c>
      <c r="AE662" s="283" t="s">
        <v>1330</v>
      </c>
      <c r="AF662" s="283" t="str">
        <f t="shared" si="86"/>
        <v>A679078</v>
      </c>
      <c r="AG662" s="283" t="str">
        <f>VLOOKUP(AF662,[2]AKT!$C$4:$E$324,3,FALSE)</f>
        <v>0942</v>
      </c>
    </row>
    <row r="663" spans="30:33">
      <c r="AD663" s="283" t="s">
        <v>1329</v>
      </c>
      <c r="AE663" s="283" t="s">
        <v>1328</v>
      </c>
      <c r="AF663" s="283" t="str">
        <f t="shared" si="86"/>
        <v>A679078</v>
      </c>
      <c r="AG663" s="283" t="str">
        <f>VLOOKUP(AF663,[2]AKT!$C$4:$E$324,3,FALSE)</f>
        <v>0942</v>
      </c>
    </row>
    <row r="664" spans="30:33">
      <c r="AD664" s="283" t="s">
        <v>1327</v>
      </c>
      <c r="AE664" s="283" t="s">
        <v>1326</v>
      </c>
      <c r="AF664" s="283" t="str">
        <f t="shared" si="86"/>
        <v>A679078</v>
      </c>
      <c r="AG664" s="283" t="str">
        <f>VLOOKUP(AF664,[2]AKT!$C$4:$E$324,3,FALSE)</f>
        <v>0942</v>
      </c>
    </row>
    <row r="665" spans="30:33">
      <c r="AD665" s="283" t="s">
        <v>1325</v>
      </c>
      <c r="AE665" s="283" t="s">
        <v>1324</v>
      </c>
      <c r="AF665" s="283" t="str">
        <f t="shared" si="86"/>
        <v>A679078</v>
      </c>
      <c r="AG665" s="283" t="str">
        <f>VLOOKUP(AF665,[2]AKT!$C$4:$E$324,3,FALSE)</f>
        <v>0942</v>
      </c>
    </row>
    <row r="666" spans="30:33">
      <c r="AD666" s="283" t="s">
        <v>1323</v>
      </c>
      <c r="AE666" s="283" t="s">
        <v>1322</v>
      </c>
      <c r="AF666" s="283" t="str">
        <f t="shared" si="86"/>
        <v>A679078</v>
      </c>
      <c r="AG666" s="283" t="str">
        <f>VLOOKUP(AF666,[2]AKT!$C$4:$E$324,3,FALSE)</f>
        <v>0942</v>
      </c>
    </row>
    <row r="667" spans="30:33">
      <c r="AD667" s="283" t="s">
        <v>1321</v>
      </c>
      <c r="AE667" s="283" t="s">
        <v>1320</v>
      </c>
      <c r="AF667" s="283" t="str">
        <f t="shared" si="86"/>
        <v>A679078</v>
      </c>
      <c r="AG667" s="283" t="str">
        <f>VLOOKUP(AF667,[2]AKT!$C$4:$E$324,3,FALSE)</f>
        <v>0942</v>
      </c>
    </row>
    <row r="668" spans="30:33">
      <c r="AD668" s="283" t="s">
        <v>1319</v>
      </c>
      <c r="AE668" s="283" t="s">
        <v>1318</v>
      </c>
      <c r="AF668" s="283" t="str">
        <f t="shared" si="86"/>
        <v>A679078</v>
      </c>
      <c r="AG668" s="283" t="str">
        <f>VLOOKUP(AF668,[2]AKT!$C$4:$E$324,3,FALSE)</f>
        <v>0942</v>
      </c>
    </row>
    <row r="669" spans="30:33">
      <c r="AD669" s="283" t="s">
        <v>1317</v>
      </c>
      <c r="AE669" s="283" t="s">
        <v>1316</v>
      </c>
      <c r="AF669" s="283" t="str">
        <f t="shared" si="86"/>
        <v>A679078</v>
      </c>
      <c r="AG669" s="283" t="str">
        <f>VLOOKUP(AF669,[2]AKT!$C$4:$E$324,3,FALSE)</f>
        <v>0942</v>
      </c>
    </row>
    <row r="670" spans="30:33">
      <c r="AD670" s="283" t="s">
        <v>1315</v>
      </c>
      <c r="AE670" s="283" t="s">
        <v>1314</v>
      </c>
      <c r="AF670" s="283" t="str">
        <f t="shared" si="86"/>
        <v>A679078</v>
      </c>
      <c r="AG670" s="283" t="str">
        <f>VLOOKUP(AF670,[2]AKT!$C$4:$E$324,3,FALSE)</f>
        <v>0942</v>
      </c>
    </row>
    <row r="671" spans="30:33">
      <c r="AD671" s="283" t="s">
        <v>1313</v>
      </c>
      <c r="AE671" s="283" t="s">
        <v>1312</v>
      </c>
      <c r="AF671" s="283" t="str">
        <f t="shared" si="86"/>
        <v>A679078</v>
      </c>
      <c r="AG671" s="283" t="str">
        <f>VLOOKUP(AF671,[2]AKT!$C$4:$E$324,3,FALSE)</f>
        <v>0942</v>
      </c>
    </row>
    <row r="672" spans="30:33">
      <c r="AD672" s="283" t="s">
        <v>1311</v>
      </c>
      <c r="AE672" s="283" t="s">
        <v>1310</v>
      </c>
      <c r="AF672" s="283" t="str">
        <f t="shared" si="86"/>
        <v>A679078</v>
      </c>
      <c r="AG672" s="283" t="str">
        <f>VLOOKUP(AF672,[2]AKT!$C$4:$E$324,3,FALSE)</f>
        <v>0942</v>
      </c>
    </row>
    <row r="673" spans="30:33">
      <c r="AD673" s="283" t="s">
        <v>1309</v>
      </c>
      <c r="AE673" s="283" t="s">
        <v>1308</v>
      </c>
      <c r="AF673" s="283" t="str">
        <f t="shared" si="86"/>
        <v>A679078</v>
      </c>
      <c r="AG673" s="283" t="str">
        <f>VLOOKUP(AF673,[2]AKT!$C$4:$E$324,3,FALSE)</f>
        <v>0942</v>
      </c>
    </row>
    <row r="674" spans="30:33">
      <c r="AD674" s="283" t="s">
        <v>1307</v>
      </c>
      <c r="AE674" s="283" t="s">
        <v>1306</v>
      </c>
      <c r="AF674" s="283" t="str">
        <f t="shared" si="86"/>
        <v>A679078</v>
      </c>
      <c r="AG674" s="283" t="str">
        <f>VLOOKUP(AF674,[2]AKT!$C$4:$E$324,3,FALSE)</f>
        <v>0942</v>
      </c>
    </row>
    <row r="675" spans="30:33">
      <c r="AD675" s="283" t="s">
        <v>1305</v>
      </c>
      <c r="AE675" s="283" t="s">
        <v>1304</v>
      </c>
      <c r="AF675" s="283" t="str">
        <f t="shared" si="86"/>
        <v>A679078</v>
      </c>
      <c r="AG675" s="283" t="str">
        <f>VLOOKUP(AF675,[2]AKT!$C$4:$E$324,3,FALSE)</f>
        <v>0942</v>
      </c>
    </row>
    <row r="676" spans="30:33">
      <c r="AD676" s="283" t="s">
        <v>1303</v>
      </c>
      <c r="AE676" s="283" t="s">
        <v>1302</v>
      </c>
      <c r="AF676" s="283" t="str">
        <f t="shared" si="86"/>
        <v>A679078</v>
      </c>
      <c r="AG676" s="283" t="str">
        <f>VLOOKUP(AF676,[2]AKT!$C$4:$E$324,3,FALSE)</f>
        <v>0942</v>
      </c>
    </row>
    <row r="677" spans="30:33">
      <c r="AD677" s="283" t="s">
        <v>1301</v>
      </c>
      <c r="AE677" s="283" t="s">
        <v>1300</v>
      </c>
      <c r="AF677" s="283" t="str">
        <f t="shared" si="86"/>
        <v>A679078</v>
      </c>
      <c r="AG677" s="283" t="str">
        <f>VLOOKUP(AF677,[2]AKT!$C$4:$E$324,3,FALSE)</f>
        <v>0942</v>
      </c>
    </row>
    <row r="678" spans="30:33">
      <c r="AD678" s="283" t="s">
        <v>1299</v>
      </c>
      <c r="AE678" s="283" t="s">
        <v>1298</v>
      </c>
      <c r="AF678" s="283" t="str">
        <f t="shared" si="86"/>
        <v>A679078</v>
      </c>
      <c r="AG678" s="283" t="str">
        <f>VLOOKUP(AF678,[2]AKT!$C$4:$E$324,3,FALSE)</f>
        <v>0942</v>
      </c>
    </row>
    <row r="679" spans="30:33">
      <c r="AD679" s="283" t="s">
        <v>1297</v>
      </c>
      <c r="AE679" s="283" t="s">
        <v>1296</v>
      </c>
      <c r="AF679" s="283" t="str">
        <f t="shared" si="86"/>
        <v>A679078</v>
      </c>
      <c r="AG679" s="283" t="str">
        <f>VLOOKUP(AF679,[2]AKT!$C$4:$E$324,3,FALSE)</f>
        <v>0942</v>
      </c>
    </row>
    <row r="680" spans="30:33">
      <c r="AD680" s="283" t="s">
        <v>1295</v>
      </c>
      <c r="AE680" s="283" t="s">
        <v>1294</v>
      </c>
      <c r="AF680" s="283" t="str">
        <f t="shared" si="86"/>
        <v>A679078</v>
      </c>
      <c r="AG680" s="283" t="str">
        <f>VLOOKUP(AF680,[2]AKT!$C$4:$E$324,3,FALSE)</f>
        <v>0942</v>
      </c>
    </row>
    <row r="681" spans="30:33">
      <c r="AD681" s="283" t="s">
        <v>1293</v>
      </c>
      <c r="AE681" s="283" t="s">
        <v>1292</v>
      </c>
      <c r="AF681" s="283" t="str">
        <f t="shared" si="86"/>
        <v>A679078</v>
      </c>
      <c r="AG681" s="283" t="str">
        <f>VLOOKUP(AF681,[2]AKT!$C$4:$E$324,3,FALSE)</f>
        <v>0942</v>
      </c>
    </row>
    <row r="682" spans="30:33">
      <c r="AD682" s="283" t="s">
        <v>1291</v>
      </c>
      <c r="AE682" s="283" t="s">
        <v>1290</v>
      </c>
      <c r="AF682" s="283" t="str">
        <f t="shared" si="86"/>
        <v>A679078</v>
      </c>
      <c r="AG682" s="283" t="str">
        <f>VLOOKUP(AF682,[2]AKT!$C$4:$E$324,3,FALSE)</f>
        <v>0942</v>
      </c>
    </row>
    <row r="683" spans="30:33">
      <c r="AD683" s="283" t="s">
        <v>1289</v>
      </c>
      <c r="AE683" s="283" t="s">
        <v>1288</v>
      </c>
      <c r="AF683" s="283" t="str">
        <f t="shared" si="86"/>
        <v>A679078</v>
      </c>
      <c r="AG683" s="283" t="str">
        <f>VLOOKUP(AF683,[2]AKT!$C$4:$E$324,3,FALSE)</f>
        <v>0942</v>
      </c>
    </row>
    <row r="684" spans="30:33">
      <c r="AD684" s="283" t="s">
        <v>1287</v>
      </c>
      <c r="AE684" s="283" t="s">
        <v>1286</v>
      </c>
      <c r="AF684" s="283" t="str">
        <f t="shared" si="86"/>
        <v>A679078</v>
      </c>
      <c r="AG684" s="283" t="str">
        <f>VLOOKUP(AF684,[2]AKT!$C$4:$E$324,3,FALSE)</f>
        <v>0942</v>
      </c>
    </row>
    <row r="685" spans="30:33">
      <c r="AD685" s="283" t="s">
        <v>1285</v>
      </c>
      <c r="AE685" s="283" t="s">
        <v>1284</v>
      </c>
      <c r="AF685" s="283" t="str">
        <f t="shared" si="86"/>
        <v>A679078</v>
      </c>
      <c r="AG685" s="283" t="str">
        <f>VLOOKUP(AF685,[2]AKT!$C$4:$E$324,3,FALSE)</f>
        <v>0942</v>
      </c>
    </row>
    <row r="686" spans="30:33">
      <c r="AD686" s="283" t="s">
        <v>1283</v>
      </c>
      <c r="AE686" s="283" t="s">
        <v>1282</v>
      </c>
      <c r="AF686" s="283" t="str">
        <f t="shared" si="86"/>
        <v>A679078</v>
      </c>
      <c r="AG686" s="283" t="str">
        <f>VLOOKUP(AF686,[2]AKT!$C$4:$E$324,3,FALSE)</f>
        <v>0942</v>
      </c>
    </row>
    <row r="687" spans="30:33">
      <c r="AD687" s="283" t="s">
        <v>1281</v>
      </c>
      <c r="AE687" s="283" t="s">
        <v>1280</v>
      </c>
      <c r="AF687" s="283" t="str">
        <f t="shared" si="86"/>
        <v>A679078</v>
      </c>
      <c r="AG687" s="283" t="str">
        <f>VLOOKUP(AF687,[2]AKT!$C$4:$E$324,3,FALSE)</f>
        <v>0942</v>
      </c>
    </row>
    <row r="688" spans="30:33">
      <c r="AD688" s="283" t="s">
        <v>1279</v>
      </c>
      <c r="AE688" s="283" t="s">
        <v>1278</v>
      </c>
      <c r="AF688" s="283" t="str">
        <f t="shared" si="86"/>
        <v>A679078</v>
      </c>
      <c r="AG688" s="283" t="str">
        <f>VLOOKUP(AF688,[2]AKT!$C$4:$E$324,3,FALSE)</f>
        <v>0942</v>
      </c>
    </row>
    <row r="689" spans="30:33">
      <c r="AD689" s="283" t="s">
        <v>1277</v>
      </c>
      <c r="AE689" s="283" t="s">
        <v>1276</v>
      </c>
      <c r="AF689" s="283" t="str">
        <f t="shared" si="86"/>
        <v>A679078</v>
      </c>
      <c r="AG689" s="283" t="str">
        <f>VLOOKUP(AF689,[2]AKT!$C$4:$E$324,3,FALSE)</f>
        <v>0942</v>
      </c>
    </row>
    <row r="690" spans="30:33">
      <c r="AD690" s="283" t="s">
        <v>1275</v>
      </c>
      <c r="AE690" s="283" t="s">
        <v>1274</v>
      </c>
      <c r="AF690" s="283" t="str">
        <f t="shared" si="86"/>
        <v>A679078</v>
      </c>
      <c r="AG690" s="283" t="str">
        <f>VLOOKUP(AF690,[2]AKT!$C$4:$E$324,3,FALSE)</f>
        <v>0942</v>
      </c>
    </row>
    <row r="691" spans="30:33">
      <c r="AD691" s="283" t="s">
        <v>1273</v>
      </c>
      <c r="AE691" s="283" t="s">
        <v>1272</v>
      </c>
      <c r="AF691" s="283" t="str">
        <f t="shared" si="86"/>
        <v>A679078</v>
      </c>
      <c r="AG691" s="283" t="str">
        <f>VLOOKUP(AF691,[2]AKT!$C$4:$E$324,3,FALSE)</f>
        <v>0942</v>
      </c>
    </row>
    <row r="692" spans="30:33">
      <c r="AD692" s="283" t="s">
        <v>1271</v>
      </c>
      <c r="AE692" s="283" t="s">
        <v>1270</v>
      </c>
      <c r="AF692" s="283" t="str">
        <f t="shared" si="86"/>
        <v>A679078</v>
      </c>
      <c r="AG692" s="283" t="str">
        <f>VLOOKUP(AF692,[2]AKT!$C$4:$E$324,3,FALSE)</f>
        <v>0942</v>
      </c>
    </row>
    <row r="693" spans="30:33">
      <c r="AD693" s="283" t="s">
        <v>1269</v>
      </c>
      <c r="AE693" s="283" t="s">
        <v>1268</v>
      </c>
      <c r="AF693" s="283" t="str">
        <f t="shared" si="86"/>
        <v>A679078</v>
      </c>
      <c r="AG693" s="283" t="str">
        <f>VLOOKUP(AF693,[2]AKT!$C$4:$E$324,3,FALSE)</f>
        <v>0942</v>
      </c>
    </row>
    <row r="694" spans="30:33">
      <c r="AD694" s="283" t="s">
        <v>1267</v>
      </c>
      <c r="AE694" s="283" t="s">
        <v>1266</v>
      </c>
      <c r="AF694" s="283" t="str">
        <f t="shared" si="86"/>
        <v>A679078</v>
      </c>
      <c r="AG694" s="283" t="str">
        <f>VLOOKUP(AF694,[2]AKT!$C$4:$E$324,3,FALSE)</f>
        <v>0942</v>
      </c>
    </row>
    <row r="695" spans="30:33">
      <c r="AD695" s="283" t="s">
        <v>1265</v>
      </c>
      <c r="AE695" s="283" t="s">
        <v>1264</v>
      </c>
      <c r="AF695" s="283" t="str">
        <f t="shared" si="86"/>
        <v>A679078</v>
      </c>
      <c r="AG695" s="283" t="str">
        <f>VLOOKUP(AF695,[2]AKT!$C$4:$E$324,3,FALSE)</f>
        <v>0942</v>
      </c>
    </row>
    <row r="696" spans="30:33">
      <c r="AD696" s="283" t="s">
        <v>1263</v>
      </c>
      <c r="AE696" s="283" t="s">
        <v>1262</v>
      </c>
      <c r="AF696" s="283" t="str">
        <f t="shared" si="86"/>
        <v>A679078</v>
      </c>
      <c r="AG696" s="283" t="str">
        <f>VLOOKUP(AF696,[2]AKT!$C$4:$E$324,3,FALSE)</f>
        <v>0942</v>
      </c>
    </row>
    <row r="697" spans="30:33">
      <c r="AD697" s="283" t="s">
        <v>1261</v>
      </c>
      <c r="AE697" s="283" t="s">
        <v>1260</v>
      </c>
      <c r="AF697" s="283" t="str">
        <f t="shared" si="86"/>
        <v>A679078</v>
      </c>
      <c r="AG697" s="283" t="str">
        <f>VLOOKUP(AF697,[2]AKT!$C$4:$E$324,3,FALSE)</f>
        <v>0942</v>
      </c>
    </row>
    <row r="698" spans="30:33">
      <c r="AD698" s="283" t="s">
        <v>1259</v>
      </c>
      <c r="AE698" s="283" t="s">
        <v>1014</v>
      </c>
      <c r="AF698" s="283" t="str">
        <f t="shared" si="86"/>
        <v>A679078</v>
      </c>
      <c r="AG698" s="283" t="str">
        <f>VLOOKUP(AF698,[2]AKT!$C$4:$E$324,3,FALSE)</f>
        <v>0942</v>
      </c>
    </row>
    <row r="699" spans="30:33">
      <c r="AD699" s="283" t="s">
        <v>1258</v>
      </c>
      <c r="AE699" s="283" t="s">
        <v>1257</v>
      </c>
      <c r="AF699" s="283" t="str">
        <f t="shared" ref="AF699:AF762" si="87">LEFT(AD699,7)</f>
        <v>A679078</v>
      </c>
      <c r="AG699" s="283" t="str">
        <f>VLOOKUP(AF699,[2]AKT!$C$4:$E$324,3,FALSE)</f>
        <v>0942</v>
      </c>
    </row>
    <row r="700" spans="30:33">
      <c r="AD700" s="283" t="s">
        <v>1256</v>
      </c>
      <c r="AE700" s="283" t="s">
        <v>1255</v>
      </c>
      <c r="AF700" s="283" t="str">
        <f t="shared" si="87"/>
        <v>A679078</v>
      </c>
      <c r="AG700" s="283" t="str">
        <f>VLOOKUP(AF700,[2]AKT!$C$4:$E$324,3,FALSE)</f>
        <v>0942</v>
      </c>
    </row>
    <row r="701" spans="30:33">
      <c r="AD701" s="283" t="s">
        <v>1254</v>
      </c>
      <c r="AE701" s="283" t="s">
        <v>1253</v>
      </c>
      <c r="AF701" s="283" t="str">
        <f t="shared" si="87"/>
        <v>A679078</v>
      </c>
      <c r="AG701" s="283" t="str">
        <f>VLOOKUP(AF701,[2]AKT!$C$4:$E$324,3,FALSE)</f>
        <v>0942</v>
      </c>
    </row>
    <row r="702" spans="30:33">
      <c r="AD702" s="283" t="s">
        <v>1252</v>
      </c>
      <c r="AE702" s="283" t="s">
        <v>1251</v>
      </c>
      <c r="AF702" s="283" t="str">
        <f t="shared" si="87"/>
        <v>A679078</v>
      </c>
      <c r="AG702" s="283" t="str">
        <f>VLOOKUP(AF702,[2]AKT!$C$4:$E$324,3,FALSE)</f>
        <v>0942</v>
      </c>
    </row>
    <row r="703" spans="30:33">
      <c r="AD703" s="283" t="s">
        <v>1250</v>
      </c>
      <c r="AE703" s="283" t="s">
        <v>1249</v>
      </c>
      <c r="AF703" s="283" t="str">
        <f t="shared" si="87"/>
        <v>A679078</v>
      </c>
      <c r="AG703" s="283" t="str">
        <f>VLOOKUP(AF703,[2]AKT!$C$4:$E$324,3,FALSE)</f>
        <v>0942</v>
      </c>
    </row>
    <row r="704" spans="30:33">
      <c r="AD704" s="283" t="s">
        <v>1248</v>
      </c>
      <c r="AE704" s="283" t="s">
        <v>1247</v>
      </c>
      <c r="AF704" s="283" t="str">
        <f t="shared" si="87"/>
        <v>A679078</v>
      </c>
      <c r="AG704" s="283" t="str">
        <f>VLOOKUP(AF704,[2]AKT!$C$4:$E$324,3,FALSE)</f>
        <v>0942</v>
      </c>
    </row>
    <row r="705" spans="30:33">
      <c r="AD705" s="283" t="s">
        <v>1246</v>
      </c>
      <c r="AE705" s="283" t="s">
        <v>1245</v>
      </c>
      <c r="AF705" s="283" t="str">
        <f t="shared" si="87"/>
        <v>A679078</v>
      </c>
      <c r="AG705" s="283" t="str">
        <f>VLOOKUP(AF705,[2]AKT!$C$4:$E$324,3,FALSE)</f>
        <v>0942</v>
      </c>
    </row>
    <row r="706" spans="30:33">
      <c r="AD706" s="283" t="s">
        <v>1244</v>
      </c>
      <c r="AE706" s="283" t="s">
        <v>1243</v>
      </c>
      <c r="AF706" s="283" t="str">
        <f t="shared" si="87"/>
        <v>A679078</v>
      </c>
      <c r="AG706" s="283" t="str">
        <f>VLOOKUP(AF706,[2]AKT!$C$4:$E$324,3,FALSE)</f>
        <v>0942</v>
      </c>
    </row>
    <row r="707" spans="30:33">
      <c r="AD707" s="283" t="s">
        <v>1242</v>
      </c>
      <c r="AE707" s="283" t="s">
        <v>1241</v>
      </c>
      <c r="AF707" s="283" t="str">
        <f t="shared" si="87"/>
        <v>A679078</v>
      </c>
      <c r="AG707" s="283" t="str">
        <f>VLOOKUP(AF707,[2]AKT!$C$4:$E$324,3,FALSE)</f>
        <v>0942</v>
      </c>
    </row>
    <row r="708" spans="30:33">
      <c r="AD708" s="283" t="s">
        <v>1240</v>
      </c>
      <c r="AE708" s="283" t="s">
        <v>1239</v>
      </c>
      <c r="AF708" s="283" t="str">
        <f t="shared" si="87"/>
        <v>A679078</v>
      </c>
      <c r="AG708" s="283" t="str">
        <f>VLOOKUP(AF708,[2]AKT!$C$4:$E$324,3,FALSE)</f>
        <v>0942</v>
      </c>
    </row>
    <row r="709" spans="30:33">
      <c r="AD709" s="283" t="s">
        <v>1238</v>
      </c>
      <c r="AE709" s="283" t="s">
        <v>1237</v>
      </c>
      <c r="AF709" s="283" t="str">
        <f t="shared" si="87"/>
        <v>A679078</v>
      </c>
      <c r="AG709" s="283" t="str">
        <f>VLOOKUP(AF709,[2]AKT!$C$4:$E$324,3,FALSE)</f>
        <v>0942</v>
      </c>
    </row>
    <row r="710" spans="30:33">
      <c r="AD710" s="283" t="s">
        <v>1236</v>
      </c>
      <c r="AE710" s="283" t="s">
        <v>1235</v>
      </c>
      <c r="AF710" s="283" t="str">
        <f t="shared" si="87"/>
        <v>A679078</v>
      </c>
      <c r="AG710" s="283" t="str">
        <f>VLOOKUP(AF710,[2]AKT!$C$4:$E$324,3,FALSE)</f>
        <v>0942</v>
      </c>
    </row>
    <row r="711" spans="30:33">
      <c r="AD711" s="283" t="s">
        <v>1234</v>
      </c>
      <c r="AE711" s="283" t="s">
        <v>1233</v>
      </c>
      <c r="AF711" s="283" t="str">
        <f t="shared" si="87"/>
        <v>A679078</v>
      </c>
      <c r="AG711" s="283" t="str">
        <f>VLOOKUP(AF711,[2]AKT!$C$4:$E$324,3,FALSE)</f>
        <v>0942</v>
      </c>
    </row>
    <row r="712" spans="30:33">
      <c r="AD712" s="283" t="s">
        <v>1232</v>
      </c>
      <c r="AE712" s="283" t="s">
        <v>1231</v>
      </c>
      <c r="AF712" s="283" t="str">
        <f t="shared" si="87"/>
        <v>A679078</v>
      </c>
      <c r="AG712" s="283" t="str">
        <f>VLOOKUP(AF712,[2]AKT!$C$4:$E$324,3,FALSE)</f>
        <v>0942</v>
      </c>
    </row>
    <row r="713" spans="30:33">
      <c r="AD713" s="283" t="s">
        <v>1230</v>
      </c>
      <c r="AE713" s="283" t="s">
        <v>1229</v>
      </c>
      <c r="AF713" s="283" t="str">
        <f t="shared" si="87"/>
        <v>A679078</v>
      </c>
      <c r="AG713" s="283" t="str">
        <f>VLOOKUP(AF713,[2]AKT!$C$4:$E$324,3,FALSE)</f>
        <v>0942</v>
      </c>
    </row>
    <row r="714" spans="30:33">
      <c r="AD714" s="283" t="s">
        <v>1228</v>
      </c>
      <c r="AE714" s="283" t="s">
        <v>1227</v>
      </c>
      <c r="AF714" s="283" t="str">
        <f t="shared" si="87"/>
        <v>A679078</v>
      </c>
      <c r="AG714" s="283" t="str">
        <f>VLOOKUP(AF714,[2]AKT!$C$4:$E$324,3,FALSE)</f>
        <v>0942</v>
      </c>
    </row>
    <row r="715" spans="30:33">
      <c r="AD715" s="283" t="s">
        <v>1226</v>
      </c>
      <c r="AE715" s="283" t="s">
        <v>1225</v>
      </c>
      <c r="AF715" s="283" t="str">
        <f t="shared" si="87"/>
        <v>A679078</v>
      </c>
      <c r="AG715" s="283" t="str">
        <f>VLOOKUP(AF715,[2]AKT!$C$4:$E$324,3,FALSE)</f>
        <v>0942</v>
      </c>
    </row>
    <row r="716" spans="30:33">
      <c r="AD716" s="283" t="s">
        <v>1224</v>
      </c>
      <c r="AE716" s="283" t="s">
        <v>1223</v>
      </c>
      <c r="AF716" s="283" t="str">
        <f t="shared" si="87"/>
        <v>A679078</v>
      </c>
      <c r="AG716" s="283" t="str">
        <f>VLOOKUP(AF716,[2]AKT!$C$4:$E$324,3,FALSE)</f>
        <v>0942</v>
      </c>
    </row>
    <row r="717" spans="30:33">
      <c r="AD717" s="283" t="s">
        <v>1222</v>
      </c>
      <c r="AE717" s="283" t="s">
        <v>1221</v>
      </c>
      <c r="AF717" s="283" t="str">
        <f t="shared" si="87"/>
        <v>A679078</v>
      </c>
      <c r="AG717" s="283" t="str">
        <f>VLOOKUP(AF717,[2]AKT!$C$4:$E$324,3,FALSE)</f>
        <v>0942</v>
      </c>
    </row>
    <row r="718" spans="30:33">
      <c r="AD718" s="283" t="s">
        <v>1220</v>
      </c>
      <c r="AE718" s="283" t="s">
        <v>1219</v>
      </c>
      <c r="AF718" s="283" t="str">
        <f t="shared" si="87"/>
        <v>A679078</v>
      </c>
      <c r="AG718" s="283" t="str">
        <f>VLOOKUP(AF718,[2]AKT!$C$4:$E$324,3,FALSE)</f>
        <v>0942</v>
      </c>
    </row>
    <row r="719" spans="30:33">
      <c r="AD719" s="283" t="s">
        <v>1218</v>
      </c>
      <c r="AE719" s="283" t="s">
        <v>1217</v>
      </c>
      <c r="AF719" s="283" t="str">
        <f t="shared" si="87"/>
        <v>A679078</v>
      </c>
      <c r="AG719" s="283" t="str">
        <f>VLOOKUP(AF719,[2]AKT!$C$4:$E$324,3,FALSE)</f>
        <v>0942</v>
      </c>
    </row>
    <row r="720" spans="30:33">
      <c r="AD720" s="283" t="s">
        <v>1216</v>
      </c>
      <c r="AE720" s="283" t="s">
        <v>1215</v>
      </c>
      <c r="AF720" s="283" t="str">
        <f t="shared" si="87"/>
        <v>A679078</v>
      </c>
      <c r="AG720" s="283" t="str">
        <f>VLOOKUP(AF720,[2]AKT!$C$4:$E$324,3,FALSE)</f>
        <v>0942</v>
      </c>
    </row>
    <row r="721" spans="30:33">
      <c r="AD721" s="283" t="s">
        <v>1214</v>
      </c>
      <c r="AE721" s="283" t="s">
        <v>1213</v>
      </c>
      <c r="AF721" s="283" t="str">
        <f t="shared" si="87"/>
        <v>A679078</v>
      </c>
      <c r="AG721" s="283" t="str">
        <f>VLOOKUP(AF721,[2]AKT!$C$4:$E$324,3,FALSE)</f>
        <v>0942</v>
      </c>
    </row>
    <row r="722" spans="30:33">
      <c r="AD722" s="283" t="s">
        <v>1212</v>
      </c>
      <c r="AE722" s="283" t="s">
        <v>1211</v>
      </c>
      <c r="AF722" s="283" t="str">
        <f t="shared" si="87"/>
        <v>A679078</v>
      </c>
      <c r="AG722" s="283" t="str">
        <f>VLOOKUP(AF722,[2]AKT!$C$4:$E$324,3,FALSE)</f>
        <v>0942</v>
      </c>
    </row>
    <row r="723" spans="30:33">
      <c r="AD723" s="283" t="s">
        <v>1210</v>
      </c>
      <c r="AE723" s="283" t="s">
        <v>1209</v>
      </c>
      <c r="AF723" s="283" t="str">
        <f t="shared" si="87"/>
        <v>A679078</v>
      </c>
      <c r="AG723" s="283" t="str">
        <f>VLOOKUP(AF723,[2]AKT!$C$4:$E$324,3,FALSE)</f>
        <v>0942</v>
      </c>
    </row>
    <row r="724" spans="30:33">
      <c r="AD724" s="283" t="s">
        <v>1208</v>
      </c>
      <c r="AE724" s="283" t="s">
        <v>1207</v>
      </c>
      <c r="AF724" s="283" t="str">
        <f t="shared" si="87"/>
        <v>A679078</v>
      </c>
      <c r="AG724" s="283" t="str">
        <f>VLOOKUP(AF724,[2]AKT!$C$4:$E$324,3,FALSE)</f>
        <v>0942</v>
      </c>
    </row>
    <row r="725" spans="30:33">
      <c r="AD725" s="283" t="s">
        <v>1206</v>
      </c>
      <c r="AE725" s="283" t="s">
        <v>1205</v>
      </c>
      <c r="AF725" s="283" t="str">
        <f t="shared" si="87"/>
        <v>A679078</v>
      </c>
      <c r="AG725" s="283" t="str">
        <f>VLOOKUP(AF725,[2]AKT!$C$4:$E$324,3,FALSE)</f>
        <v>0942</v>
      </c>
    </row>
    <row r="726" spans="30:33">
      <c r="AD726" s="283" t="s">
        <v>1204</v>
      </c>
      <c r="AE726" s="283" t="s">
        <v>1203</v>
      </c>
      <c r="AF726" s="283" t="str">
        <f t="shared" si="87"/>
        <v>A679078</v>
      </c>
      <c r="AG726" s="283" t="str">
        <f>VLOOKUP(AF726,[2]AKT!$C$4:$E$324,3,FALSE)</f>
        <v>0942</v>
      </c>
    </row>
    <row r="727" spans="30:33">
      <c r="AD727" s="283" t="s">
        <v>1202</v>
      </c>
      <c r="AE727" s="283" t="s">
        <v>1201</v>
      </c>
      <c r="AF727" s="283" t="str">
        <f t="shared" si="87"/>
        <v>A679078</v>
      </c>
      <c r="AG727" s="283" t="str">
        <f>VLOOKUP(AF727,[2]AKT!$C$4:$E$324,3,FALSE)</f>
        <v>0942</v>
      </c>
    </row>
    <row r="728" spans="30:33">
      <c r="AD728" s="283" t="s">
        <v>1200</v>
      </c>
      <c r="AE728" s="283" t="s">
        <v>1199</v>
      </c>
      <c r="AF728" s="283" t="str">
        <f t="shared" si="87"/>
        <v>A679078</v>
      </c>
      <c r="AG728" s="283" t="str">
        <f>VLOOKUP(AF728,[2]AKT!$C$4:$E$324,3,FALSE)</f>
        <v>0942</v>
      </c>
    </row>
    <row r="729" spans="30:33">
      <c r="AD729" s="283" t="s">
        <v>1198</v>
      </c>
      <c r="AE729" s="283" t="s">
        <v>1197</v>
      </c>
      <c r="AF729" s="283" t="str">
        <f t="shared" si="87"/>
        <v>A679078</v>
      </c>
      <c r="AG729" s="283" t="str">
        <f>VLOOKUP(AF729,[2]AKT!$C$4:$E$324,3,FALSE)</f>
        <v>0942</v>
      </c>
    </row>
    <row r="730" spans="30:33">
      <c r="AD730" s="283" t="s">
        <v>1196</v>
      </c>
      <c r="AE730" s="283" t="s">
        <v>1195</v>
      </c>
      <c r="AF730" s="283" t="str">
        <f t="shared" si="87"/>
        <v>A679078</v>
      </c>
      <c r="AG730" s="283" t="str">
        <f>VLOOKUP(AF730,[2]AKT!$C$4:$E$324,3,FALSE)</f>
        <v>0942</v>
      </c>
    </row>
    <row r="731" spans="30:33">
      <c r="AD731" s="283" t="s">
        <v>1194</v>
      </c>
      <c r="AE731" s="283" t="s">
        <v>1193</v>
      </c>
      <c r="AF731" s="283" t="str">
        <f t="shared" si="87"/>
        <v>A679078</v>
      </c>
      <c r="AG731" s="283" t="str">
        <f>VLOOKUP(AF731,[2]AKT!$C$4:$E$324,3,FALSE)</f>
        <v>0942</v>
      </c>
    </row>
    <row r="732" spans="30:33">
      <c r="AD732" s="283" t="s">
        <v>1192</v>
      </c>
      <c r="AE732" s="283" t="s">
        <v>1191</v>
      </c>
      <c r="AF732" s="283" t="str">
        <f t="shared" si="87"/>
        <v>A679078</v>
      </c>
      <c r="AG732" s="283" t="str">
        <f>VLOOKUP(AF732,[2]AKT!$C$4:$E$324,3,FALSE)</f>
        <v>0942</v>
      </c>
    </row>
    <row r="733" spans="30:33">
      <c r="AD733" s="283" t="s">
        <v>1190</v>
      </c>
      <c r="AE733" s="283" t="s">
        <v>1189</v>
      </c>
      <c r="AF733" s="283" t="str">
        <f t="shared" si="87"/>
        <v>A679078</v>
      </c>
      <c r="AG733" s="283" t="str">
        <f>VLOOKUP(AF733,[2]AKT!$C$4:$E$324,3,FALSE)</f>
        <v>0942</v>
      </c>
    </row>
    <row r="734" spans="30:33">
      <c r="AD734" s="283" t="s">
        <v>1188</v>
      </c>
      <c r="AE734" s="283" t="s">
        <v>1187</v>
      </c>
      <c r="AF734" s="283" t="str">
        <f t="shared" si="87"/>
        <v>A679078</v>
      </c>
      <c r="AG734" s="283" t="str">
        <f>VLOOKUP(AF734,[2]AKT!$C$4:$E$324,3,FALSE)</f>
        <v>0942</v>
      </c>
    </row>
    <row r="735" spans="30:33">
      <c r="AD735" s="283" t="s">
        <v>1186</v>
      </c>
      <c r="AE735" s="283" t="s">
        <v>1185</v>
      </c>
      <c r="AF735" s="283" t="str">
        <f t="shared" si="87"/>
        <v>A679078</v>
      </c>
      <c r="AG735" s="283" t="str">
        <f>VLOOKUP(AF735,[2]AKT!$C$4:$E$324,3,FALSE)</f>
        <v>0942</v>
      </c>
    </row>
    <row r="736" spans="30:33">
      <c r="AD736" s="283" t="s">
        <v>1184</v>
      </c>
      <c r="AE736" s="283" t="s">
        <v>1183</v>
      </c>
      <c r="AF736" s="283" t="str">
        <f t="shared" si="87"/>
        <v>A679078</v>
      </c>
      <c r="AG736" s="283" t="str">
        <f>VLOOKUP(AF736,[2]AKT!$C$4:$E$324,3,FALSE)</f>
        <v>0942</v>
      </c>
    </row>
    <row r="737" spans="30:33">
      <c r="AD737" s="283" t="s">
        <v>1182</v>
      </c>
      <c r="AE737" s="283" t="s">
        <v>1181</v>
      </c>
      <c r="AF737" s="283" t="str">
        <f t="shared" si="87"/>
        <v>A679078</v>
      </c>
      <c r="AG737" s="283" t="str">
        <f>VLOOKUP(AF737,[2]AKT!$C$4:$E$324,3,FALSE)</f>
        <v>0942</v>
      </c>
    </row>
    <row r="738" spans="30:33">
      <c r="AD738" s="283" t="s">
        <v>1180</v>
      </c>
      <c r="AE738" s="283" t="s">
        <v>1179</v>
      </c>
      <c r="AF738" s="283" t="str">
        <f t="shared" si="87"/>
        <v>A679078</v>
      </c>
      <c r="AG738" s="283" t="str">
        <f>VLOOKUP(AF738,[2]AKT!$C$4:$E$324,3,FALSE)</f>
        <v>0942</v>
      </c>
    </row>
    <row r="739" spans="30:33">
      <c r="AD739" s="283" t="s">
        <v>1178</v>
      </c>
      <c r="AE739" s="283" t="s">
        <v>1177</v>
      </c>
      <c r="AF739" s="283" t="str">
        <f t="shared" si="87"/>
        <v>A679078</v>
      </c>
      <c r="AG739" s="283" t="str">
        <f>VLOOKUP(AF739,[2]AKT!$C$4:$E$324,3,FALSE)</f>
        <v>0942</v>
      </c>
    </row>
    <row r="740" spans="30:33">
      <c r="AD740" s="283" t="s">
        <v>1176</v>
      </c>
      <c r="AE740" s="283" t="s">
        <v>1175</v>
      </c>
      <c r="AF740" s="283" t="str">
        <f t="shared" si="87"/>
        <v>A679078</v>
      </c>
      <c r="AG740" s="283" t="str">
        <f>VLOOKUP(AF740,[2]AKT!$C$4:$E$324,3,FALSE)</f>
        <v>0942</v>
      </c>
    </row>
    <row r="741" spans="30:33">
      <c r="AD741" s="283" t="s">
        <v>1174</v>
      </c>
      <c r="AE741" s="283" t="s">
        <v>1173</v>
      </c>
      <c r="AF741" s="283" t="str">
        <f t="shared" si="87"/>
        <v>A679078</v>
      </c>
      <c r="AG741" s="283" t="str">
        <f>VLOOKUP(AF741,[2]AKT!$C$4:$E$324,3,FALSE)</f>
        <v>0942</v>
      </c>
    </row>
    <row r="742" spans="30:33">
      <c r="AD742" s="283" t="s">
        <v>1172</v>
      </c>
      <c r="AE742" s="283" t="s">
        <v>1171</v>
      </c>
      <c r="AF742" s="283" t="str">
        <f t="shared" si="87"/>
        <v>A679078</v>
      </c>
      <c r="AG742" s="283" t="str">
        <f>VLOOKUP(AF742,[2]AKT!$C$4:$E$324,3,FALSE)</f>
        <v>0942</v>
      </c>
    </row>
    <row r="743" spans="30:33">
      <c r="AD743" s="283" t="s">
        <v>1170</v>
      </c>
      <c r="AE743" s="283" t="s">
        <v>1169</v>
      </c>
      <c r="AF743" s="283" t="str">
        <f t="shared" si="87"/>
        <v>A679078</v>
      </c>
      <c r="AG743" s="283" t="str">
        <f>VLOOKUP(AF743,[2]AKT!$C$4:$E$324,3,FALSE)</f>
        <v>0942</v>
      </c>
    </row>
    <row r="744" spans="30:33">
      <c r="AD744" s="283" t="s">
        <v>1168</v>
      </c>
      <c r="AE744" s="283" t="s">
        <v>1167</v>
      </c>
      <c r="AF744" s="283" t="str">
        <f t="shared" si="87"/>
        <v>A679078</v>
      </c>
      <c r="AG744" s="283" t="str">
        <f>VLOOKUP(AF744,[2]AKT!$C$4:$E$324,3,FALSE)</f>
        <v>0942</v>
      </c>
    </row>
    <row r="745" spans="30:33">
      <c r="AD745" s="283" t="s">
        <v>1166</v>
      </c>
      <c r="AE745" s="283" t="s">
        <v>1165</v>
      </c>
      <c r="AF745" s="283" t="str">
        <f t="shared" si="87"/>
        <v>A679078</v>
      </c>
      <c r="AG745" s="283" t="str">
        <f>VLOOKUP(AF745,[2]AKT!$C$4:$E$324,3,FALSE)</f>
        <v>0942</v>
      </c>
    </row>
    <row r="746" spans="30:33">
      <c r="AD746" s="283" t="s">
        <v>1164</v>
      </c>
      <c r="AE746" s="283" t="s">
        <v>1163</v>
      </c>
      <c r="AF746" s="283" t="str">
        <f t="shared" si="87"/>
        <v>A679078</v>
      </c>
      <c r="AG746" s="283" t="str">
        <f>VLOOKUP(AF746,[2]AKT!$C$4:$E$324,3,FALSE)</f>
        <v>0942</v>
      </c>
    </row>
    <row r="747" spans="30:33">
      <c r="AD747" s="283" t="s">
        <v>1162</v>
      </c>
      <c r="AE747" s="283" t="s">
        <v>1161</v>
      </c>
      <c r="AF747" s="283" t="str">
        <f t="shared" si="87"/>
        <v>A679078</v>
      </c>
      <c r="AG747" s="283" t="str">
        <f>VLOOKUP(AF747,[2]AKT!$C$4:$E$324,3,FALSE)</f>
        <v>0942</v>
      </c>
    </row>
    <row r="748" spans="30:33">
      <c r="AD748" s="283" t="s">
        <v>1160</v>
      </c>
      <c r="AE748" s="283" t="s">
        <v>1159</v>
      </c>
      <c r="AF748" s="283" t="str">
        <f t="shared" si="87"/>
        <v>A679078</v>
      </c>
      <c r="AG748" s="283" t="str">
        <f>VLOOKUP(AF748,[2]AKT!$C$4:$E$324,3,FALSE)</f>
        <v>0942</v>
      </c>
    </row>
    <row r="749" spans="30:33">
      <c r="AD749" s="283" t="s">
        <v>1158</v>
      </c>
      <c r="AE749" s="283" t="s">
        <v>1157</v>
      </c>
      <c r="AF749" s="283" t="str">
        <f t="shared" si="87"/>
        <v>A679078</v>
      </c>
      <c r="AG749" s="283" t="str">
        <f>VLOOKUP(AF749,[2]AKT!$C$4:$E$324,3,FALSE)</f>
        <v>0942</v>
      </c>
    </row>
    <row r="750" spans="30:33">
      <c r="AD750" s="283" t="s">
        <v>1156</v>
      </c>
      <c r="AE750" s="283" t="s">
        <v>1155</v>
      </c>
      <c r="AF750" s="283" t="str">
        <f t="shared" si="87"/>
        <v>A679078</v>
      </c>
      <c r="AG750" s="283" t="str">
        <f>VLOOKUP(AF750,[2]AKT!$C$4:$E$324,3,FALSE)</f>
        <v>0942</v>
      </c>
    </row>
    <row r="751" spans="30:33">
      <c r="AD751" s="283" t="s">
        <v>1154</v>
      </c>
      <c r="AE751" s="283" t="s">
        <v>1153</v>
      </c>
      <c r="AF751" s="283" t="str">
        <f t="shared" si="87"/>
        <v>A679078</v>
      </c>
      <c r="AG751" s="283" t="str">
        <f>VLOOKUP(AF751,[2]AKT!$C$4:$E$324,3,FALSE)</f>
        <v>0942</v>
      </c>
    </row>
    <row r="752" spans="30:33">
      <c r="AD752" s="283" t="s">
        <v>1152</v>
      </c>
      <c r="AE752" s="283" t="s">
        <v>1151</v>
      </c>
      <c r="AF752" s="283" t="str">
        <f t="shared" si="87"/>
        <v>A679078</v>
      </c>
      <c r="AG752" s="283" t="str">
        <f>VLOOKUP(AF752,[2]AKT!$C$4:$E$324,3,FALSE)</f>
        <v>0942</v>
      </c>
    </row>
    <row r="753" spans="30:33">
      <c r="AD753" s="283" t="s">
        <v>1150</v>
      </c>
      <c r="AE753" s="283" t="s">
        <v>1149</v>
      </c>
      <c r="AF753" s="283" t="str">
        <f t="shared" si="87"/>
        <v>A679078</v>
      </c>
      <c r="AG753" s="283" t="str">
        <f>VLOOKUP(AF753,[2]AKT!$C$4:$E$324,3,FALSE)</f>
        <v>0942</v>
      </c>
    </row>
    <row r="754" spans="30:33">
      <c r="AD754" s="283" t="s">
        <v>1148</v>
      </c>
      <c r="AE754" s="283" t="s">
        <v>1147</v>
      </c>
      <c r="AF754" s="283" t="str">
        <f t="shared" si="87"/>
        <v>A679078</v>
      </c>
      <c r="AG754" s="283" t="str">
        <f>VLOOKUP(AF754,[2]AKT!$C$4:$E$324,3,FALSE)</f>
        <v>0942</v>
      </c>
    </row>
    <row r="755" spans="30:33">
      <c r="AD755" s="283" t="s">
        <v>1146</v>
      </c>
      <c r="AE755" s="283" t="s">
        <v>1145</v>
      </c>
      <c r="AF755" s="283" t="str">
        <f t="shared" si="87"/>
        <v>A679078</v>
      </c>
      <c r="AG755" s="283" t="str">
        <f>VLOOKUP(AF755,[2]AKT!$C$4:$E$324,3,FALSE)</f>
        <v>0942</v>
      </c>
    </row>
    <row r="756" spans="30:33">
      <c r="AD756" s="283" t="s">
        <v>1144</v>
      </c>
      <c r="AE756" s="283" t="s">
        <v>1143</v>
      </c>
      <c r="AF756" s="283" t="str">
        <f t="shared" si="87"/>
        <v>A679078</v>
      </c>
      <c r="AG756" s="283" t="str">
        <f>VLOOKUP(AF756,[2]AKT!$C$4:$E$324,3,FALSE)</f>
        <v>0942</v>
      </c>
    </row>
    <row r="757" spans="30:33">
      <c r="AD757" s="283" t="s">
        <v>1142</v>
      </c>
      <c r="AE757" s="283" t="s">
        <v>1141</v>
      </c>
      <c r="AF757" s="283" t="str">
        <f t="shared" si="87"/>
        <v>A679078</v>
      </c>
      <c r="AG757" s="283" t="str">
        <f>VLOOKUP(AF757,[2]AKT!$C$4:$E$324,3,FALSE)</f>
        <v>0942</v>
      </c>
    </row>
    <row r="758" spans="30:33">
      <c r="AD758" s="283" t="s">
        <v>1140</v>
      </c>
      <c r="AE758" s="283" t="s">
        <v>1084</v>
      </c>
      <c r="AF758" s="283" t="str">
        <f t="shared" si="87"/>
        <v>A679078</v>
      </c>
      <c r="AG758" s="283" t="str">
        <f>VLOOKUP(AF758,[2]AKT!$C$4:$E$324,3,FALSE)</f>
        <v>0942</v>
      </c>
    </row>
    <row r="759" spans="30:33">
      <c r="AD759" s="283" t="s">
        <v>1139</v>
      </c>
      <c r="AE759" s="283" t="s">
        <v>1138</v>
      </c>
      <c r="AF759" s="283" t="str">
        <f t="shared" si="87"/>
        <v>A679078</v>
      </c>
      <c r="AG759" s="283" t="str">
        <f>VLOOKUP(AF759,[2]AKT!$C$4:$E$324,3,FALSE)</f>
        <v>0942</v>
      </c>
    </row>
    <row r="760" spans="30:33">
      <c r="AD760" s="283" t="s">
        <v>1137</v>
      </c>
      <c r="AE760" s="283" t="s">
        <v>1136</v>
      </c>
      <c r="AF760" s="283" t="str">
        <f t="shared" si="87"/>
        <v>A679078</v>
      </c>
      <c r="AG760" s="283" t="str">
        <f>VLOOKUP(AF760,[2]AKT!$C$4:$E$324,3,FALSE)</f>
        <v>0942</v>
      </c>
    </row>
    <row r="761" spans="30:33">
      <c r="AD761" s="283" t="s">
        <v>1135</v>
      </c>
      <c r="AE761" s="283" t="s">
        <v>1082</v>
      </c>
      <c r="AF761" s="283" t="str">
        <f t="shared" si="87"/>
        <v>A679078</v>
      </c>
      <c r="AG761" s="283" t="str">
        <f>VLOOKUP(AF761,[2]AKT!$C$4:$E$324,3,FALSE)</f>
        <v>0942</v>
      </c>
    </row>
    <row r="762" spans="30:33">
      <c r="AD762" s="283" t="s">
        <v>1134</v>
      </c>
      <c r="AE762" s="283" t="s">
        <v>1133</v>
      </c>
      <c r="AF762" s="283" t="str">
        <f t="shared" si="87"/>
        <v>A679078</v>
      </c>
      <c r="AG762" s="283" t="str">
        <f>VLOOKUP(AF762,[2]AKT!$C$4:$E$324,3,FALSE)</f>
        <v>0942</v>
      </c>
    </row>
    <row r="763" spans="30:33">
      <c r="AD763" s="283" t="s">
        <v>1132</v>
      </c>
      <c r="AE763" s="283" t="s">
        <v>1131</v>
      </c>
      <c r="AF763" s="283" t="str">
        <f t="shared" ref="AF763:AF826" si="88">LEFT(AD763,7)</f>
        <v>A679078</v>
      </c>
      <c r="AG763" s="283" t="str">
        <f>VLOOKUP(AF763,[2]AKT!$C$4:$E$324,3,FALSE)</f>
        <v>0942</v>
      </c>
    </row>
    <row r="764" spans="30:33">
      <c r="AD764" s="283" t="s">
        <v>1130</v>
      </c>
      <c r="AE764" s="283" t="s">
        <v>1129</v>
      </c>
      <c r="AF764" s="283" t="str">
        <f t="shared" si="88"/>
        <v>A679078</v>
      </c>
      <c r="AG764" s="283" t="str">
        <f>VLOOKUP(AF764,[2]AKT!$C$4:$E$324,3,FALSE)</f>
        <v>0942</v>
      </c>
    </row>
    <row r="765" spans="30:33">
      <c r="AD765" s="283" t="s">
        <v>1128</v>
      </c>
      <c r="AE765" s="283" t="s">
        <v>1127</v>
      </c>
      <c r="AF765" s="283" t="str">
        <f t="shared" si="88"/>
        <v>A679078</v>
      </c>
      <c r="AG765" s="283" t="str">
        <f>VLOOKUP(AF765,[2]AKT!$C$4:$E$324,3,FALSE)</f>
        <v>0942</v>
      </c>
    </row>
    <row r="766" spans="30:33">
      <c r="AD766" s="283" t="s">
        <v>1126</v>
      </c>
      <c r="AE766" s="283" t="s">
        <v>1125</v>
      </c>
      <c r="AF766" s="283" t="str">
        <f t="shared" si="88"/>
        <v>A679078</v>
      </c>
      <c r="AG766" s="283" t="str">
        <f>VLOOKUP(AF766,[2]AKT!$C$4:$E$324,3,FALSE)</f>
        <v>0942</v>
      </c>
    </row>
    <row r="767" spans="30:33">
      <c r="AD767" s="283" t="s">
        <v>1124</v>
      </c>
      <c r="AE767" s="283" t="s">
        <v>1123</v>
      </c>
      <c r="AF767" s="283" t="str">
        <f t="shared" si="88"/>
        <v>A679078</v>
      </c>
      <c r="AG767" s="283" t="str">
        <f>VLOOKUP(AF767,[2]AKT!$C$4:$E$324,3,FALSE)</f>
        <v>0942</v>
      </c>
    </row>
    <row r="768" spans="30:33">
      <c r="AD768" s="283" t="s">
        <v>1122</v>
      </c>
      <c r="AE768" s="283" t="s">
        <v>1121</v>
      </c>
      <c r="AF768" s="283" t="str">
        <f t="shared" si="88"/>
        <v>A679078</v>
      </c>
      <c r="AG768" s="283" t="str">
        <f>VLOOKUP(AF768,[2]AKT!$C$4:$E$324,3,FALSE)</f>
        <v>0942</v>
      </c>
    </row>
    <row r="769" spans="30:33">
      <c r="AD769" s="283" t="s">
        <v>1120</v>
      </c>
      <c r="AE769" s="283" t="s">
        <v>1119</v>
      </c>
      <c r="AF769" s="283" t="str">
        <f t="shared" si="88"/>
        <v>A679078</v>
      </c>
      <c r="AG769" s="283" t="str">
        <f>VLOOKUP(AF769,[2]AKT!$C$4:$E$324,3,FALSE)</f>
        <v>0942</v>
      </c>
    </row>
    <row r="770" spans="30:33">
      <c r="AD770" s="283" t="s">
        <v>1118</v>
      </c>
      <c r="AE770" s="283" t="s">
        <v>1117</v>
      </c>
      <c r="AF770" s="283" t="str">
        <f t="shared" si="88"/>
        <v>A679078</v>
      </c>
      <c r="AG770" s="283" t="str">
        <f>VLOOKUP(AF770,[2]AKT!$C$4:$E$324,3,FALSE)</f>
        <v>0942</v>
      </c>
    </row>
    <row r="771" spans="30:33">
      <c r="AD771" s="283" t="s">
        <v>1116</v>
      </c>
      <c r="AE771" s="283" t="s">
        <v>1115</v>
      </c>
      <c r="AF771" s="283" t="str">
        <f t="shared" si="88"/>
        <v>A679078</v>
      </c>
      <c r="AG771" s="283" t="str">
        <f>VLOOKUP(AF771,[2]AKT!$C$4:$E$324,3,FALSE)</f>
        <v>0942</v>
      </c>
    </row>
    <row r="772" spans="30:33">
      <c r="AD772" s="283" t="s">
        <v>1114</v>
      </c>
      <c r="AE772" s="283" t="s">
        <v>1113</v>
      </c>
      <c r="AF772" s="283" t="str">
        <f t="shared" si="88"/>
        <v>A679078</v>
      </c>
      <c r="AG772" s="283" t="str">
        <f>VLOOKUP(AF772,[2]AKT!$C$4:$E$324,3,FALSE)</f>
        <v>0942</v>
      </c>
    </row>
    <row r="773" spans="30:33">
      <c r="AD773" s="283" t="s">
        <v>1112</v>
      </c>
      <c r="AE773" s="283" t="s">
        <v>1111</v>
      </c>
      <c r="AF773" s="283" t="str">
        <f t="shared" si="88"/>
        <v>A679078</v>
      </c>
      <c r="AG773" s="283" t="str">
        <f>VLOOKUP(AF773,[2]AKT!$C$4:$E$324,3,FALSE)</f>
        <v>0942</v>
      </c>
    </row>
    <row r="774" spans="30:33">
      <c r="AD774" s="283" t="s">
        <v>1110</v>
      </c>
      <c r="AE774" s="283" t="s">
        <v>1109</v>
      </c>
      <c r="AF774" s="283" t="str">
        <f t="shared" si="88"/>
        <v>A679078</v>
      </c>
      <c r="AG774" s="283" t="str">
        <f>VLOOKUP(AF774,[2]AKT!$C$4:$E$324,3,FALSE)</f>
        <v>0942</v>
      </c>
    </row>
    <row r="775" spans="30:33">
      <c r="AD775" s="283" t="s">
        <v>1108</v>
      </c>
      <c r="AE775" s="283" t="s">
        <v>1107</v>
      </c>
      <c r="AF775" s="283" t="str">
        <f t="shared" si="88"/>
        <v>A679078</v>
      </c>
      <c r="AG775" s="283" t="str">
        <f>VLOOKUP(AF775,[2]AKT!$C$4:$E$324,3,FALSE)</f>
        <v>0942</v>
      </c>
    </row>
    <row r="776" spans="30:33">
      <c r="AD776" s="283" t="s">
        <v>1106</v>
      </c>
      <c r="AE776" s="283" t="s">
        <v>1105</v>
      </c>
      <c r="AF776" s="283" t="str">
        <f t="shared" si="88"/>
        <v>A679078</v>
      </c>
      <c r="AG776" s="283" t="str">
        <f>VLOOKUP(AF776,[2]AKT!$C$4:$E$324,3,FALSE)</f>
        <v>0942</v>
      </c>
    </row>
    <row r="777" spans="30:33">
      <c r="AD777" s="283" t="s">
        <v>1104</v>
      </c>
      <c r="AE777" s="283" t="s">
        <v>1103</v>
      </c>
      <c r="AF777" s="283" t="str">
        <f t="shared" si="88"/>
        <v>A679078</v>
      </c>
      <c r="AG777" s="283" t="str">
        <f>VLOOKUP(AF777,[2]AKT!$C$4:$E$324,3,FALSE)</f>
        <v>0942</v>
      </c>
    </row>
    <row r="778" spans="30:33">
      <c r="AD778" s="283" t="s">
        <v>1102</v>
      </c>
      <c r="AE778" s="283" t="s">
        <v>1101</v>
      </c>
      <c r="AF778" s="283" t="str">
        <f t="shared" si="88"/>
        <v>A679078</v>
      </c>
      <c r="AG778" s="283" t="str">
        <f>VLOOKUP(AF778,[2]AKT!$C$4:$E$324,3,FALSE)</f>
        <v>0942</v>
      </c>
    </row>
    <row r="779" spans="30:33">
      <c r="AD779" s="283" t="s">
        <v>1100</v>
      </c>
      <c r="AE779" s="283" t="s">
        <v>555</v>
      </c>
      <c r="AF779" s="283" t="str">
        <f t="shared" si="88"/>
        <v>A679078</v>
      </c>
      <c r="AG779" s="283" t="str">
        <f>VLOOKUP(AF779,[2]AKT!$C$4:$E$324,3,FALSE)</f>
        <v>0942</v>
      </c>
    </row>
    <row r="780" spans="30:33">
      <c r="AD780" s="283" t="s">
        <v>1099</v>
      </c>
      <c r="AE780" s="283" t="s">
        <v>1098</v>
      </c>
      <c r="AF780" s="283" t="str">
        <f t="shared" si="88"/>
        <v>A679078</v>
      </c>
      <c r="AG780" s="283" t="str">
        <f>VLOOKUP(AF780,[2]AKT!$C$4:$E$324,3,FALSE)</f>
        <v>0942</v>
      </c>
    </row>
    <row r="781" spans="30:33">
      <c r="AD781" s="283" t="s">
        <v>1097</v>
      </c>
      <c r="AE781" s="283" t="s">
        <v>1096</v>
      </c>
      <c r="AF781" s="283" t="str">
        <f t="shared" si="88"/>
        <v>A679078</v>
      </c>
      <c r="AG781" s="283" t="str">
        <f>VLOOKUP(AF781,[2]AKT!$C$4:$E$324,3,FALSE)</f>
        <v>0942</v>
      </c>
    </row>
    <row r="782" spans="30:33">
      <c r="AD782" s="283" t="s">
        <v>1095</v>
      </c>
      <c r="AE782" s="283" t="s">
        <v>1094</v>
      </c>
      <c r="AF782" s="283" t="str">
        <f t="shared" si="88"/>
        <v>A679078</v>
      </c>
      <c r="AG782" s="283" t="str">
        <f>VLOOKUP(AF782,[2]AKT!$C$4:$E$324,3,FALSE)</f>
        <v>0942</v>
      </c>
    </row>
    <row r="783" spans="30:33">
      <c r="AD783" s="283" t="s">
        <v>1093</v>
      </c>
      <c r="AE783" s="283" t="s">
        <v>1092</v>
      </c>
      <c r="AF783" s="283" t="str">
        <f t="shared" si="88"/>
        <v>A679078</v>
      </c>
      <c r="AG783" s="283" t="str">
        <f>VLOOKUP(AF783,[2]AKT!$C$4:$E$324,3,FALSE)</f>
        <v>0942</v>
      </c>
    </row>
    <row r="784" spans="30:33">
      <c r="AD784" s="283" t="s">
        <v>1091</v>
      </c>
      <c r="AE784" s="283" t="s">
        <v>1090</v>
      </c>
      <c r="AF784" s="283" t="str">
        <f t="shared" si="88"/>
        <v>A679078</v>
      </c>
      <c r="AG784" s="283" t="str">
        <f>VLOOKUP(AF784,[2]AKT!$C$4:$E$324,3,FALSE)</f>
        <v>0942</v>
      </c>
    </row>
    <row r="785" spans="30:33">
      <c r="AD785" s="283" t="s">
        <v>1089</v>
      </c>
      <c r="AE785" s="283" t="s">
        <v>1088</v>
      </c>
      <c r="AF785" s="283" t="str">
        <f t="shared" si="88"/>
        <v>A679078</v>
      </c>
      <c r="AG785" s="283" t="str">
        <f>VLOOKUP(AF785,[2]AKT!$C$4:$E$324,3,FALSE)</f>
        <v>0942</v>
      </c>
    </row>
    <row r="786" spans="30:33">
      <c r="AD786" s="283" t="s">
        <v>1087</v>
      </c>
      <c r="AE786" s="283" t="s">
        <v>1086</v>
      </c>
      <c r="AF786" s="283" t="str">
        <f t="shared" si="88"/>
        <v>A679078</v>
      </c>
      <c r="AG786" s="283" t="str">
        <f>VLOOKUP(AF786,[2]AKT!$C$4:$E$324,3,FALSE)</f>
        <v>0942</v>
      </c>
    </row>
    <row r="787" spans="30:33">
      <c r="AD787" s="283" t="s">
        <v>1085</v>
      </c>
      <c r="AE787" s="283" t="s">
        <v>1084</v>
      </c>
      <c r="AF787" s="283" t="str">
        <f t="shared" si="88"/>
        <v>A679078</v>
      </c>
      <c r="AG787" s="283" t="str">
        <f>VLOOKUP(AF787,[2]AKT!$C$4:$E$324,3,FALSE)</f>
        <v>0942</v>
      </c>
    </row>
    <row r="788" spans="30:33">
      <c r="AD788" s="283" t="s">
        <v>1083</v>
      </c>
      <c r="AE788" s="283" t="s">
        <v>1082</v>
      </c>
      <c r="AF788" s="283" t="str">
        <f t="shared" si="88"/>
        <v>A679078</v>
      </c>
      <c r="AG788" s="283" t="str">
        <f>VLOOKUP(AF788,[2]AKT!$C$4:$E$324,3,FALSE)</f>
        <v>0942</v>
      </c>
    </row>
    <row r="789" spans="30:33">
      <c r="AD789" s="283" t="s">
        <v>1081</v>
      </c>
      <c r="AE789" s="283" t="s">
        <v>1080</v>
      </c>
      <c r="AF789" s="283" t="str">
        <f t="shared" si="88"/>
        <v>A679078</v>
      </c>
      <c r="AG789" s="283" t="str">
        <f>VLOOKUP(AF789,[2]AKT!$C$4:$E$324,3,FALSE)</f>
        <v>0942</v>
      </c>
    </row>
    <row r="790" spans="30:33">
      <c r="AD790" s="283" t="s">
        <v>1079</v>
      </c>
      <c r="AE790" s="283" t="s">
        <v>1078</v>
      </c>
      <c r="AF790" s="283" t="str">
        <f t="shared" si="88"/>
        <v>A679078</v>
      </c>
      <c r="AG790" s="283" t="str">
        <f>VLOOKUP(AF790,[2]AKT!$C$4:$E$324,3,FALSE)</f>
        <v>0942</v>
      </c>
    </row>
    <row r="791" spans="30:33">
      <c r="AD791" s="283" t="s">
        <v>1077</v>
      </c>
      <c r="AE791" s="283" t="s">
        <v>1076</v>
      </c>
      <c r="AF791" s="283" t="str">
        <f t="shared" si="88"/>
        <v>A679078</v>
      </c>
      <c r="AG791" s="283" t="str">
        <f>VLOOKUP(AF791,[2]AKT!$C$4:$E$324,3,FALSE)</f>
        <v>0942</v>
      </c>
    </row>
    <row r="792" spans="30:33">
      <c r="AD792" s="283" t="s">
        <v>1075</v>
      </c>
      <c r="AE792" s="283" t="s">
        <v>1074</v>
      </c>
      <c r="AF792" s="283" t="str">
        <f t="shared" si="88"/>
        <v>A679078</v>
      </c>
      <c r="AG792" s="283" t="str">
        <f>VLOOKUP(AF792,[2]AKT!$C$4:$E$324,3,FALSE)</f>
        <v>0942</v>
      </c>
    </row>
    <row r="793" spans="30:33">
      <c r="AD793" s="283" t="s">
        <v>1073</v>
      </c>
      <c r="AE793" s="283" t="s">
        <v>1072</v>
      </c>
      <c r="AF793" s="283" t="str">
        <f t="shared" si="88"/>
        <v>A679078</v>
      </c>
      <c r="AG793" s="283" t="str">
        <f>VLOOKUP(AF793,[2]AKT!$C$4:$E$324,3,FALSE)</f>
        <v>0942</v>
      </c>
    </row>
    <row r="794" spans="30:33">
      <c r="AD794" s="283" t="s">
        <v>1071</v>
      </c>
      <c r="AE794" s="283" t="s">
        <v>1070</v>
      </c>
      <c r="AF794" s="283" t="str">
        <f t="shared" si="88"/>
        <v>A679078</v>
      </c>
      <c r="AG794" s="283" t="str">
        <f>VLOOKUP(AF794,[2]AKT!$C$4:$E$324,3,FALSE)</f>
        <v>0942</v>
      </c>
    </row>
    <row r="795" spans="30:33">
      <c r="AD795" s="283" t="s">
        <v>1069</v>
      </c>
      <c r="AE795" s="283" t="s">
        <v>1068</v>
      </c>
      <c r="AF795" s="283" t="str">
        <f t="shared" si="88"/>
        <v>A679078</v>
      </c>
      <c r="AG795" s="283" t="str">
        <f>VLOOKUP(AF795,[2]AKT!$C$4:$E$324,3,FALSE)</f>
        <v>0942</v>
      </c>
    </row>
    <row r="796" spans="30:33">
      <c r="AD796" s="283" t="s">
        <v>1067</v>
      </c>
      <c r="AE796" s="283" t="s">
        <v>1066</v>
      </c>
      <c r="AF796" s="283" t="str">
        <f t="shared" si="88"/>
        <v>A679078</v>
      </c>
      <c r="AG796" s="283" t="str">
        <f>VLOOKUP(AF796,[2]AKT!$C$4:$E$324,3,FALSE)</f>
        <v>0942</v>
      </c>
    </row>
    <row r="797" spans="30:33">
      <c r="AD797" s="283" t="s">
        <v>1065</v>
      </c>
      <c r="AE797" s="283" t="s">
        <v>1064</v>
      </c>
      <c r="AF797" s="283" t="str">
        <f t="shared" si="88"/>
        <v>A679078</v>
      </c>
      <c r="AG797" s="283" t="str">
        <f>VLOOKUP(AF797,[2]AKT!$C$4:$E$324,3,FALSE)</f>
        <v>0942</v>
      </c>
    </row>
    <row r="798" spans="30:33">
      <c r="AD798" s="283" t="s">
        <v>1063</v>
      </c>
      <c r="AE798" s="283" t="s">
        <v>1062</v>
      </c>
      <c r="AF798" s="283" t="str">
        <f t="shared" si="88"/>
        <v>A679078</v>
      </c>
      <c r="AG798" s="283" t="str">
        <f>VLOOKUP(AF798,[2]AKT!$C$4:$E$324,3,FALSE)</f>
        <v>0942</v>
      </c>
    </row>
    <row r="799" spans="30:33">
      <c r="AD799" s="283" t="s">
        <v>1061</v>
      </c>
      <c r="AE799" s="283" t="s">
        <v>1060</v>
      </c>
      <c r="AF799" s="283" t="str">
        <f t="shared" si="88"/>
        <v>A679078</v>
      </c>
      <c r="AG799" s="283" t="str">
        <f>VLOOKUP(AF799,[2]AKT!$C$4:$E$324,3,FALSE)</f>
        <v>0942</v>
      </c>
    </row>
    <row r="800" spans="30:33">
      <c r="AD800" s="283" t="s">
        <v>1059</v>
      </c>
      <c r="AE800" s="283" t="s">
        <v>1058</v>
      </c>
      <c r="AF800" s="283" t="str">
        <f t="shared" si="88"/>
        <v>A679078</v>
      </c>
      <c r="AG800" s="283" t="str">
        <f>VLOOKUP(AF800,[2]AKT!$C$4:$E$324,3,FALSE)</f>
        <v>0942</v>
      </c>
    </row>
    <row r="801" spans="30:33">
      <c r="AD801" s="283" t="s">
        <v>1057</v>
      </c>
      <c r="AE801" s="283" t="s">
        <v>1056</v>
      </c>
      <c r="AF801" s="283" t="str">
        <f t="shared" si="88"/>
        <v>A679078</v>
      </c>
      <c r="AG801" s="283" t="str">
        <f>VLOOKUP(AF801,[2]AKT!$C$4:$E$324,3,FALSE)</f>
        <v>0942</v>
      </c>
    </row>
    <row r="802" spans="30:33">
      <c r="AD802" s="283" t="s">
        <v>1055</v>
      </c>
      <c r="AE802" s="283" t="s">
        <v>1054</v>
      </c>
      <c r="AF802" s="283" t="str">
        <f t="shared" si="88"/>
        <v>A679078</v>
      </c>
      <c r="AG802" s="283" t="str">
        <f>VLOOKUP(AF802,[2]AKT!$C$4:$E$324,3,FALSE)</f>
        <v>0942</v>
      </c>
    </row>
    <row r="803" spans="30:33">
      <c r="AD803" s="283" t="s">
        <v>1053</v>
      </c>
      <c r="AE803" s="283" t="s">
        <v>1052</v>
      </c>
      <c r="AF803" s="283" t="str">
        <f t="shared" si="88"/>
        <v>A679078</v>
      </c>
      <c r="AG803" s="283" t="str">
        <f>VLOOKUP(AF803,[2]AKT!$C$4:$E$324,3,FALSE)</f>
        <v>0942</v>
      </c>
    </row>
    <row r="804" spans="30:33">
      <c r="AD804" s="283" t="s">
        <v>1051</v>
      </c>
      <c r="AE804" s="283" t="s">
        <v>1050</v>
      </c>
      <c r="AF804" s="283" t="str">
        <f t="shared" si="88"/>
        <v>A679078</v>
      </c>
      <c r="AG804" s="283" t="str">
        <f>VLOOKUP(AF804,[2]AKT!$C$4:$E$324,3,FALSE)</f>
        <v>0942</v>
      </c>
    </row>
    <row r="805" spans="30:33">
      <c r="AD805" s="283" t="s">
        <v>1049</v>
      </c>
      <c r="AE805" s="283" t="s">
        <v>1048</v>
      </c>
      <c r="AF805" s="283" t="str">
        <f t="shared" si="88"/>
        <v>A679078</v>
      </c>
      <c r="AG805" s="283" t="str">
        <f>VLOOKUP(AF805,[2]AKT!$C$4:$E$324,3,FALSE)</f>
        <v>0942</v>
      </c>
    </row>
    <row r="806" spans="30:33">
      <c r="AD806" s="283" t="s">
        <v>1047</v>
      </c>
      <c r="AE806" s="283" t="s">
        <v>1046</v>
      </c>
      <c r="AF806" s="283" t="str">
        <f t="shared" si="88"/>
        <v>A679078</v>
      </c>
      <c r="AG806" s="283" t="str">
        <f>VLOOKUP(AF806,[2]AKT!$C$4:$E$324,3,FALSE)</f>
        <v>0942</v>
      </c>
    </row>
    <row r="807" spans="30:33">
      <c r="AD807" s="283" t="s">
        <v>1045</v>
      </c>
      <c r="AE807" s="283" t="s">
        <v>1044</v>
      </c>
      <c r="AF807" s="283" t="str">
        <f t="shared" si="88"/>
        <v>A679078</v>
      </c>
      <c r="AG807" s="283" t="str">
        <f>VLOOKUP(AF807,[2]AKT!$C$4:$E$324,3,FALSE)</f>
        <v>0942</v>
      </c>
    </row>
    <row r="808" spans="30:33">
      <c r="AD808" s="283" t="s">
        <v>1043</v>
      </c>
      <c r="AE808" s="283" t="s">
        <v>1042</v>
      </c>
      <c r="AF808" s="283" t="str">
        <f t="shared" si="88"/>
        <v>A679078</v>
      </c>
      <c r="AG808" s="283" t="str">
        <f>VLOOKUP(AF808,[2]AKT!$C$4:$E$324,3,FALSE)</f>
        <v>0942</v>
      </c>
    </row>
    <row r="809" spans="30:33">
      <c r="AD809" s="283" t="s">
        <v>1041</v>
      </c>
      <c r="AE809" s="283" t="s">
        <v>1040</v>
      </c>
      <c r="AF809" s="283" t="str">
        <f t="shared" si="88"/>
        <v>A679078</v>
      </c>
      <c r="AG809" s="283" t="str">
        <f>VLOOKUP(AF809,[2]AKT!$C$4:$E$324,3,FALSE)</f>
        <v>0942</v>
      </c>
    </row>
    <row r="810" spans="30:33">
      <c r="AD810" s="283" t="s">
        <v>1039</v>
      </c>
      <c r="AE810" s="283" t="s">
        <v>1038</v>
      </c>
      <c r="AF810" s="283" t="str">
        <f t="shared" si="88"/>
        <v>A679078</v>
      </c>
      <c r="AG810" s="283" t="str">
        <f>VLOOKUP(AF810,[2]AKT!$C$4:$E$324,3,FALSE)</f>
        <v>0942</v>
      </c>
    </row>
    <row r="811" spans="30:33">
      <c r="AD811" s="283" t="s">
        <v>1037</v>
      </c>
      <c r="AE811" s="283" t="s">
        <v>1036</v>
      </c>
      <c r="AF811" s="283" t="str">
        <f t="shared" si="88"/>
        <v>A679078</v>
      </c>
      <c r="AG811" s="283" t="str">
        <f>VLOOKUP(AF811,[2]AKT!$C$4:$E$324,3,FALSE)</f>
        <v>0942</v>
      </c>
    </row>
    <row r="812" spans="30:33">
      <c r="AD812" s="283" t="s">
        <v>1035</v>
      </c>
      <c r="AE812" s="283" t="s">
        <v>1034</v>
      </c>
      <c r="AF812" s="283" t="str">
        <f t="shared" si="88"/>
        <v>A679078</v>
      </c>
      <c r="AG812" s="283" t="str">
        <f>VLOOKUP(AF812,[2]AKT!$C$4:$E$324,3,FALSE)</f>
        <v>0942</v>
      </c>
    </row>
    <row r="813" spans="30:33">
      <c r="AD813" s="283" t="s">
        <v>1033</v>
      </c>
      <c r="AE813" s="283" t="s">
        <v>1032</v>
      </c>
      <c r="AF813" s="283" t="str">
        <f t="shared" si="88"/>
        <v>A679078</v>
      </c>
      <c r="AG813" s="283" t="str">
        <f>VLOOKUP(AF813,[2]AKT!$C$4:$E$324,3,FALSE)</f>
        <v>0942</v>
      </c>
    </row>
    <row r="814" spans="30:33">
      <c r="AD814" s="283" t="s">
        <v>1031</v>
      </c>
      <c r="AE814" s="283" t="s">
        <v>1030</v>
      </c>
      <c r="AF814" s="283" t="str">
        <f t="shared" si="88"/>
        <v>A679078</v>
      </c>
      <c r="AG814" s="283" t="str">
        <f>VLOOKUP(AF814,[2]AKT!$C$4:$E$324,3,FALSE)</f>
        <v>0942</v>
      </c>
    </row>
    <row r="815" spans="30:33">
      <c r="AD815" s="283" t="s">
        <v>1029</v>
      </c>
      <c r="AE815" s="283" t="s">
        <v>1028</v>
      </c>
      <c r="AF815" s="283" t="str">
        <f t="shared" si="88"/>
        <v>A679078</v>
      </c>
      <c r="AG815" s="283" t="str">
        <f>VLOOKUP(AF815,[2]AKT!$C$4:$E$324,3,FALSE)</f>
        <v>0942</v>
      </c>
    </row>
    <row r="816" spans="30:33">
      <c r="AD816" s="283" t="s">
        <v>1027</v>
      </c>
      <c r="AE816" s="283" t="s">
        <v>1026</v>
      </c>
      <c r="AF816" s="283" t="str">
        <f t="shared" si="88"/>
        <v>A679078</v>
      </c>
      <c r="AG816" s="283" t="str">
        <f>VLOOKUP(AF816,[2]AKT!$C$4:$E$324,3,FALSE)</f>
        <v>0942</v>
      </c>
    </row>
    <row r="817" spans="30:33">
      <c r="AD817" s="283" t="s">
        <v>1025</v>
      </c>
      <c r="AE817" s="283" t="s">
        <v>1024</v>
      </c>
      <c r="AF817" s="283" t="str">
        <f t="shared" si="88"/>
        <v>A679078</v>
      </c>
      <c r="AG817" s="283" t="str">
        <f>VLOOKUP(AF817,[2]AKT!$C$4:$E$324,3,FALSE)</f>
        <v>0942</v>
      </c>
    </row>
    <row r="818" spans="30:33">
      <c r="AD818" s="283" t="s">
        <v>1023</v>
      </c>
      <c r="AE818" s="283" t="s">
        <v>1022</v>
      </c>
      <c r="AF818" s="283" t="str">
        <f t="shared" si="88"/>
        <v>A679078</v>
      </c>
      <c r="AG818" s="283" t="str">
        <f>VLOOKUP(AF818,[2]AKT!$C$4:$E$324,3,FALSE)</f>
        <v>0942</v>
      </c>
    </row>
    <row r="819" spans="30:33">
      <c r="AD819" s="283" t="s">
        <v>1021</v>
      </c>
      <c r="AE819" s="283" t="s">
        <v>1020</v>
      </c>
      <c r="AF819" s="283" t="str">
        <f t="shared" si="88"/>
        <v>A679078</v>
      </c>
      <c r="AG819" s="283" t="str">
        <f>VLOOKUP(AF819,[2]AKT!$C$4:$E$324,3,FALSE)</f>
        <v>0942</v>
      </c>
    </row>
    <row r="820" spans="30:33">
      <c r="AD820" s="283" t="s">
        <v>1019</v>
      </c>
      <c r="AE820" s="283" t="s">
        <v>1018</v>
      </c>
      <c r="AF820" s="283" t="str">
        <f t="shared" si="88"/>
        <v>A679078</v>
      </c>
      <c r="AG820" s="283" t="str">
        <f>VLOOKUP(AF820,[2]AKT!$C$4:$E$324,3,FALSE)</f>
        <v>0942</v>
      </c>
    </row>
    <row r="821" spans="30:33">
      <c r="AD821" s="283" t="s">
        <v>1017</v>
      </c>
      <c r="AE821" s="283" t="s">
        <v>1016</v>
      </c>
      <c r="AF821" s="283" t="str">
        <f t="shared" si="88"/>
        <v>A679078</v>
      </c>
      <c r="AG821" s="283" t="str">
        <f>VLOOKUP(AF821,[2]AKT!$C$4:$E$324,3,FALSE)</f>
        <v>0942</v>
      </c>
    </row>
    <row r="822" spans="30:33">
      <c r="AD822" s="283" t="s">
        <v>1015</v>
      </c>
      <c r="AE822" s="283" t="s">
        <v>1014</v>
      </c>
      <c r="AF822" s="283" t="str">
        <f t="shared" si="88"/>
        <v>A679078</v>
      </c>
      <c r="AG822" s="283" t="str">
        <f>VLOOKUP(AF822,[2]AKT!$C$4:$E$324,3,FALSE)</f>
        <v>0942</v>
      </c>
    </row>
    <row r="823" spans="30:33">
      <c r="AD823" s="283" t="s">
        <v>1013</v>
      </c>
      <c r="AE823" s="283" t="s">
        <v>1012</v>
      </c>
      <c r="AF823" s="283" t="str">
        <f t="shared" si="88"/>
        <v>A679078</v>
      </c>
      <c r="AG823" s="283" t="str">
        <f>VLOOKUP(AF823,[2]AKT!$C$4:$E$324,3,FALSE)</f>
        <v>0942</v>
      </c>
    </row>
    <row r="824" spans="30:33">
      <c r="AD824" s="283" t="s">
        <v>1011</v>
      </c>
      <c r="AE824" s="283" t="s">
        <v>1010</v>
      </c>
      <c r="AF824" s="283" t="str">
        <f t="shared" si="88"/>
        <v>A679078</v>
      </c>
      <c r="AG824" s="283" t="str">
        <f>VLOOKUP(AF824,[2]AKT!$C$4:$E$324,3,FALSE)</f>
        <v>0942</v>
      </c>
    </row>
    <row r="825" spans="30:33">
      <c r="AD825" s="283" t="s">
        <v>1009</v>
      </c>
      <c r="AE825" s="283" t="s">
        <v>1008</v>
      </c>
      <c r="AF825" s="283" t="str">
        <f t="shared" si="88"/>
        <v>A679078</v>
      </c>
      <c r="AG825" s="283" t="str">
        <f>VLOOKUP(AF825,[2]AKT!$C$4:$E$324,3,FALSE)</f>
        <v>0942</v>
      </c>
    </row>
    <row r="826" spans="30:33">
      <c r="AD826" s="283" t="s">
        <v>1007</v>
      </c>
      <c r="AE826" s="283" t="s">
        <v>1006</v>
      </c>
      <c r="AF826" s="283" t="str">
        <f t="shared" si="88"/>
        <v>A679078</v>
      </c>
      <c r="AG826" s="283" t="str">
        <f>VLOOKUP(AF826,[2]AKT!$C$4:$E$324,3,FALSE)</f>
        <v>0942</v>
      </c>
    </row>
    <row r="827" spans="30:33">
      <c r="AD827" s="283" t="s">
        <v>1005</v>
      </c>
      <c r="AE827" s="283" t="s">
        <v>1004</v>
      </c>
      <c r="AF827" s="283" t="str">
        <f t="shared" ref="AF827:AF890" si="89">LEFT(AD827,7)</f>
        <v>A679078</v>
      </c>
      <c r="AG827" s="283" t="str">
        <f>VLOOKUP(AF827,[2]AKT!$C$4:$E$324,3,FALSE)</f>
        <v>0942</v>
      </c>
    </row>
    <row r="828" spans="30:33">
      <c r="AD828" s="283" t="s">
        <v>1003</v>
      </c>
      <c r="AE828" s="283" t="s">
        <v>1002</v>
      </c>
      <c r="AF828" s="283" t="str">
        <f t="shared" si="89"/>
        <v>A679078</v>
      </c>
      <c r="AG828" s="283" t="str">
        <f>VLOOKUP(AF828,[2]AKT!$C$4:$E$324,3,FALSE)</f>
        <v>0942</v>
      </c>
    </row>
    <row r="829" spans="30:33">
      <c r="AD829" s="283" t="s">
        <v>1001</v>
      </c>
      <c r="AE829" s="283" t="s">
        <v>1000</v>
      </c>
      <c r="AF829" s="283" t="str">
        <f t="shared" si="89"/>
        <v>A679078</v>
      </c>
      <c r="AG829" s="283" t="str">
        <f>VLOOKUP(AF829,[2]AKT!$C$4:$E$324,3,FALSE)</f>
        <v>0942</v>
      </c>
    </row>
    <row r="830" spans="30:33">
      <c r="AD830" s="283" t="s">
        <v>999</v>
      </c>
      <c r="AE830" s="283" t="s">
        <v>998</v>
      </c>
      <c r="AF830" s="283" t="str">
        <f t="shared" si="89"/>
        <v>A679078</v>
      </c>
      <c r="AG830" s="283" t="str">
        <f>VLOOKUP(AF830,[2]AKT!$C$4:$E$324,3,FALSE)</f>
        <v>0942</v>
      </c>
    </row>
    <row r="831" spans="30:33">
      <c r="AD831" s="283" t="s">
        <v>997</v>
      </c>
      <c r="AE831" s="283" t="s">
        <v>996</v>
      </c>
      <c r="AF831" s="283" t="str">
        <f t="shared" si="89"/>
        <v>A679078</v>
      </c>
      <c r="AG831" s="283" t="str">
        <f>VLOOKUP(AF831,[2]AKT!$C$4:$E$324,3,FALSE)</f>
        <v>0942</v>
      </c>
    </row>
    <row r="832" spans="30:33">
      <c r="AD832" s="283" t="s">
        <v>995</v>
      </c>
      <c r="AE832" s="283" t="s">
        <v>994</v>
      </c>
      <c r="AF832" s="283" t="str">
        <f t="shared" si="89"/>
        <v>A679078</v>
      </c>
      <c r="AG832" s="283" t="str">
        <f>VLOOKUP(AF832,[2]AKT!$C$4:$E$324,3,FALSE)</f>
        <v>0942</v>
      </c>
    </row>
    <row r="833" spans="30:33">
      <c r="AD833" s="283" t="s">
        <v>993</v>
      </c>
      <c r="AE833" s="283" t="s">
        <v>992</v>
      </c>
      <c r="AF833" s="283" t="str">
        <f t="shared" si="89"/>
        <v>A679078</v>
      </c>
      <c r="AG833" s="283" t="str">
        <f>VLOOKUP(AF833,[2]AKT!$C$4:$E$324,3,FALSE)</f>
        <v>0942</v>
      </c>
    </row>
    <row r="834" spans="30:33">
      <c r="AD834" s="283" t="s">
        <v>991</v>
      </c>
      <c r="AE834" s="283" t="s">
        <v>990</v>
      </c>
      <c r="AF834" s="283" t="str">
        <f t="shared" si="89"/>
        <v>A679078</v>
      </c>
      <c r="AG834" s="283" t="str">
        <f>VLOOKUP(AF834,[2]AKT!$C$4:$E$324,3,FALSE)</f>
        <v>0942</v>
      </c>
    </row>
    <row r="835" spans="30:33">
      <c r="AD835" s="283" t="s">
        <v>989</v>
      </c>
      <c r="AE835" s="283" t="s">
        <v>988</v>
      </c>
      <c r="AF835" s="283" t="str">
        <f t="shared" si="89"/>
        <v>A679078</v>
      </c>
      <c r="AG835" s="283" t="str">
        <f>VLOOKUP(AF835,[2]AKT!$C$4:$E$324,3,FALSE)</f>
        <v>0942</v>
      </c>
    </row>
    <row r="836" spans="30:33">
      <c r="AD836" s="283" t="s">
        <v>987</v>
      </c>
      <c r="AE836" s="283" t="s">
        <v>986</v>
      </c>
      <c r="AF836" s="283" t="str">
        <f t="shared" si="89"/>
        <v>A679078</v>
      </c>
      <c r="AG836" s="283" t="str">
        <f>VLOOKUP(AF836,[2]AKT!$C$4:$E$324,3,FALSE)</f>
        <v>0942</v>
      </c>
    </row>
    <row r="837" spans="30:33">
      <c r="AD837" s="283" t="s">
        <v>985</v>
      </c>
      <c r="AE837" s="283" t="s">
        <v>984</v>
      </c>
      <c r="AF837" s="283" t="str">
        <f t="shared" si="89"/>
        <v>A679078</v>
      </c>
      <c r="AG837" s="283" t="str">
        <f>VLOOKUP(AF837,[2]AKT!$C$4:$E$324,3,FALSE)</f>
        <v>0942</v>
      </c>
    </row>
    <row r="838" spans="30:33">
      <c r="AD838" s="283" t="s">
        <v>983</v>
      </c>
      <c r="AE838" s="283" t="s">
        <v>982</v>
      </c>
      <c r="AF838" s="283" t="str">
        <f t="shared" si="89"/>
        <v>A679078</v>
      </c>
      <c r="AG838" s="283" t="str">
        <f>VLOOKUP(AF838,[2]AKT!$C$4:$E$324,3,FALSE)</f>
        <v>0942</v>
      </c>
    </row>
    <row r="839" spans="30:33">
      <c r="AD839" s="283" t="s">
        <v>981</v>
      </c>
      <c r="AE839" s="283" t="s">
        <v>980</v>
      </c>
      <c r="AF839" s="283" t="str">
        <f t="shared" si="89"/>
        <v>A679078</v>
      </c>
      <c r="AG839" s="283" t="str">
        <f>VLOOKUP(AF839,[2]AKT!$C$4:$E$324,3,FALSE)</f>
        <v>0942</v>
      </c>
    </row>
    <row r="840" spans="30:33">
      <c r="AD840" s="283" t="s">
        <v>979</v>
      </c>
      <c r="AE840" s="283" t="s">
        <v>978</v>
      </c>
      <c r="AF840" s="283" t="str">
        <f t="shared" si="89"/>
        <v>A679078</v>
      </c>
      <c r="AG840" s="283" t="str">
        <f>VLOOKUP(AF840,[2]AKT!$C$4:$E$324,3,FALSE)</f>
        <v>0942</v>
      </c>
    </row>
    <row r="841" spans="30:33">
      <c r="AD841" s="283" t="s">
        <v>977</v>
      </c>
      <c r="AE841" s="283" t="s">
        <v>976</v>
      </c>
      <c r="AF841" s="283" t="str">
        <f t="shared" si="89"/>
        <v>A679078</v>
      </c>
      <c r="AG841" s="283" t="str">
        <f>VLOOKUP(AF841,[2]AKT!$C$4:$E$324,3,FALSE)</f>
        <v>0942</v>
      </c>
    </row>
    <row r="842" spans="30:33">
      <c r="AD842" s="283" t="s">
        <v>975</v>
      </c>
      <c r="AE842" s="283" t="s">
        <v>974</v>
      </c>
      <c r="AF842" s="283" t="str">
        <f t="shared" si="89"/>
        <v>A679078</v>
      </c>
      <c r="AG842" s="283" t="str">
        <f>VLOOKUP(AF842,[2]AKT!$C$4:$E$324,3,FALSE)</f>
        <v>0942</v>
      </c>
    </row>
    <row r="843" spans="30:33">
      <c r="AD843" s="283" t="s">
        <v>973</v>
      </c>
      <c r="AE843" s="283" t="s">
        <v>972</v>
      </c>
      <c r="AF843" s="283" t="str">
        <f t="shared" si="89"/>
        <v>A679078</v>
      </c>
      <c r="AG843" s="283" t="str">
        <f>VLOOKUP(AF843,[2]AKT!$C$4:$E$324,3,FALSE)</f>
        <v>0942</v>
      </c>
    </row>
    <row r="844" spans="30:33">
      <c r="AD844" s="283" t="s">
        <v>971</v>
      </c>
      <c r="AE844" s="283" t="s">
        <v>800</v>
      </c>
      <c r="AF844" s="283" t="str">
        <f t="shared" si="89"/>
        <v>A679078</v>
      </c>
      <c r="AG844" s="283" t="str">
        <f>VLOOKUP(AF844,[2]AKT!$C$4:$E$324,3,FALSE)</f>
        <v>0942</v>
      </c>
    </row>
    <row r="845" spans="30:33">
      <c r="AD845" s="283" t="s">
        <v>970</v>
      </c>
      <c r="AE845" s="283" t="s">
        <v>969</v>
      </c>
      <c r="AF845" s="283" t="str">
        <f t="shared" si="89"/>
        <v>A679078</v>
      </c>
      <c r="AG845" s="283" t="str">
        <f>VLOOKUP(AF845,[2]AKT!$C$4:$E$324,3,FALSE)</f>
        <v>0942</v>
      </c>
    </row>
    <row r="846" spans="30:33">
      <c r="AD846" s="283" t="s">
        <v>968</v>
      </c>
      <c r="AE846" s="283" t="s">
        <v>967</v>
      </c>
      <c r="AF846" s="283" t="str">
        <f t="shared" si="89"/>
        <v>A679078</v>
      </c>
      <c r="AG846" s="283" t="str">
        <f>VLOOKUP(AF846,[2]AKT!$C$4:$E$324,3,FALSE)</f>
        <v>0942</v>
      </c>
    </row>
    <row r="847" spans="30:33">
      <c r="AD847" s="283" t="s">
        <v>966</v>
      </c>
      <c r="AE847" s="283" t="s">
        <v>965</v>
      </c>
      <c r="AF847" s="283" t="str">
        <f t="shared" si="89"/>
        <v>A679078</v>
      </c>
      <c r="AG847" s="283" t="str">
        <f>VLOOKUP(AF847,[2]AKT!$C$4:$E$324,3,FALSE)</f>
        <v>0942</v>
      </c>
    </row>
    <row r="848" spans="30:33">
      <c r="AD848" s="283" t="s">
        <v>964</v>
      </c>
      <c r="AE848" s="283" t="s">
        <v>963</v>
      </c>
      <c r="AF848" s="283" t="str">
        <f t="shared" si="89"/>
        <v>A679078</v>
      </c>
      <c r="AG848" s="283" t="str">
        <f>VLOOKUP(AF848,[2]AKT!$C$4:$E$324,3,FALSE)</f>
        <v>0942</v>
      </c>
    </row>
    <row r="849" spans="30:33">
      <c r="AD849" s="283" t="s">
        <v>962</v>
      </c>
      <c r="AE849" s="283" t="s">
        <v>961</v>
      </c>
      <c r="AF849" s="283" t="str">
        <f t="shared" si="89"/>
        <v>A679078</v>
      </c>
      <c r="AG849" s="283" t="str">
        <f>VLOOKUP(AF849,[2]AKT!$C$4:$E$324,3,FALSE)</f>
        <v>0942</v>
      </c>
    </row>
    <row r="850" spans="30:33">
      <c r="AD850" s="283" t="s">
        <v>960</v>
      </c>
      <c r="AE850" s="283" t="s">
        <v>959</v>
      </c>
      <c r="AF850" s="283" t="str">
        <f t="shared" si="89"/>
        <v>A679078</v>
      </c>
      <c r="AG850" s="283" t="str">
        <f>VLOOKUP(AF850,[2]AKT!$C$4:$E$324,3,FALSE)</f>
        <v>0942</v>
      </c>
    </row>
    <row r="851" spans="30:33">
      <c r="AD851" s="283" t="s">
        <v>958</v>
      </c>
      <c r="AE851" s="283" t="s">
        <v>957</v>
      </c>
      <c r="AF851" s="283" t="str">
        <f t="shared" si="89"/>
        <v>A679078</v>
      </c>
      <c r="AG851" s="283" t="str">
        <f>VLOOKUP(AF851,[2]AKT!$C$4:$E$324,3,FALSE)</f>
        <v>0942</v>
      </c>
    </row>
    <row r="852" spans="30:33">
      <c r="AD852" s="283" t="s">
        <v>956</v>
      </c>
      <c r="AE852" s="283" t="s">
        <v>555</v>
      </c>
      <c r="AF852" s="283" t="str">
        <f t="shared" si="89"/>
        <v>A679078</v>
      </c>
      <c r="AG852" s="283" t="str">
        <f>VLOOKUP(AF852,[2]AKT!$C$4:$E$324,3,FALSE)</f>
        <v>0942</v>
      </c>
    </row>
    <row r="853" spans="30:33">
      <c r="AD853" s="283" t="s">
        <v>955</v>
      </c>
      <c r="AE853" s="283" t="s">
        <v>954</v>
      </c>
      <c r="AF853" s="283" t="str">
        <f t="shared" si="89"/>
        <v>A679078</v>
      </c>
      <c r="AG853" s="283" t="str">
        <f>VLOOKUP(AF853,[2]AKT!$C$4:$E$324,3,FALSE)</f>
        <v>0942</v>
      </c>
    </row>
    <row r="854" spans="30:33">
      <c r="AD854" s="283" t="s">
        <v>953</v>
      </c>
      <c r="AE854" s="283" t="s">
        <v>952</v>
      </c>
      <c r="AF854" s="283" t="str">
        <f t="shared" si="89"/>
        <v>A679078</v>
      </c>
      <c r="AG854" s="283" t="str">
        <f>VLOOKUP(AF854,[2]AKT!$C$4:$E$324,3,FALSE)</f>
        <v>0942</v>
      </c>
    </row>
    <row r="855" spans="30:33">
      <c r="AD855" s="283" t="s">
        <v>951</v>
      </c>
      <c r="AE855" s="283" t="s">
        <v>950</v>
      </c>
      <c r="AF855" s="283" t="str">
        <f t="shared" si="89"/>
        <v>A679078</v>
      </c>
      <c r="AG855" s="283" t="str">
        <f>VLOOKUP(AF855,[2]AKT!$C$4:$E$324,3,FALSE)</f>
        <v>0942</v>
      </c>
    </row>
    <row r="856" spans="30:33">
      <c r="AD856" s="283" t="s">
        <v>949</v>
      </c>
      <c r="AE856" s="283" t="s">
        <v>948</v>
      </c>
      <c r="AF856" s="283" t="str">
        <f t="shared" si="89"/>
        <v>A679078</v>
      </c>
      <c r="AG856" s="283" t="str">
        <f>VLOOKUP(AF856,[2]AKT!$C$4:$E$324,3,FALSE)</f>
        <v>0942</v>
      </c>
    </row>
    <row r="857" spans="30:33">
      <c r="AD857" s="283" t="s">
        <v>947</v>
      </c>
      <c r="AE857" s="283" t="s">
        <v>946</v>
      </c>
      <c r="AF857" s="283" t="str">
        <f t="shared" si="89"/>
        <v>A679078</v>
      </c>
      <c r="AG857" s="283" t="str">
        <f>VLOOKUP(AF857,[2]AKT!$C$4:$E$324,3,FALSE)</f>
        <v>0942</v>
      </c>
    </row>
    <row r="858" spans="30:33">
      <c r="AD858" s="283" t="s">
        <v>945</v>
      </c>
      <c r="AE858" s="283" t="s">
        <v>944</v>
      </c>
      <c r="AF858" s="283" t="str">
        <f t="shared" si="89"/>
        <v>A679078</v>
      </c>
      <c r="AG858" s="283" t="str">
        <f>VLOOKUP(AF858,[2]AKT!$C$4:$E$324,3,FALSE)</f>
        <v>0942</v>
      </c>
    </row>
    <row r="859" spans="30:33">
      <c r="AD859" s="283" t="s">
        <v>943</v>
      </c>
      <c r="AE859" s="283" t="s">
        <v>942</v>
      </c>
      <c r="AF859" s="283" t="str">
        <f t="shared" si="89"/>
        <v>A679078</v>
      </c>
      <c r="AG859" s="283" t="str">
        <f>VLOOKUP(AF859,[2]AKT!$C$4:$E$324,3,FALSE)</f>
        <v>0942</v>
      </c>
    </row>
    <row r="860" spans="30:33">
      <c r="AD860" s="283" t="s">
        <v>941</v>
      </c>
      <c r="AE860" s="283" t="s">
        <v>940</v>
      </c>
      <c r="AF860" s="283" t="str">
        <f t="shared" si="89"/>
        <v>A679078</v>
      </c>
      <c r="AG860" s="283" t="str">
        <f>VLOOKUP(AF860,[2]AKT!$C$4:$E$324,3,FALSE)</f>
        <v>0942</v>
      </c>
    </row>
    <row r="861" spans="30:33">
      <c r="AD861" s="283" t="s">
        <v>939</v>
      </c>
      <c r="AE861" s="283" t="s">
        <v>938</v>
      </c>
      <c r="AF861" s="283" t="str">
        <f t="shared" si="89"/>
        <v>A679078</v>
      </c>
      <c r="AG861" s="283" t="str">
        <f>VLOOKUP(AF861,[2]AKT!$C$4:$E$324,3,FALSE)</f>
        <v>0942</v>
      </c>
    </row>
    <row r="862" spans="30:33">
      <c r="AD862" s="283" t="s">
        <v>937</v>
      </c>
      <c r="AE862" s="283" t="s">
        <v>936</v>
      </c>
      <c r="AF862" s="283" t="str">
        <f t="shared" si="89"/>
        <v>A679078</v>
      </c>
      <c r="AG862" s="283" t="str">
        <f>VLOOKUP(AF862,[2]AKT!$C$4:$E$324,3,FALSE)</f>
        <v>0942</v>
      </c>
    </row>
    <row r="863" spans="30:33">
      <c r="AD863" s="283" t="s">
        <v>935</v>
      </c>
      <c r="AE863" s="283" t="s">
        <v>934</v>
      </c>
      <c r="AF863" s="283" t="str">
        <f t="shared" si="89"/>
        <v>A679078</v>
      </c>
      <c r="AG863" s="283" t="str">
        <f>VLOOKUP(AF863,[2]AKT!$C$4:$E$324,3,FALSE)</f>
        <v>0942</v>
      </c>
    </row>
    <row r="864" spans="30:33">
      <c r="AD864" s="283" t="s">
        <v>933</v>
      </c>
      <c r="AE864" s="283" t="s">
        <v>932</v>
      </c>
      <c r="AF864" s="283" t="str">
        <f t="shared" si="89"/>
        <v>A679078</v>
      </c>
      <c r="AG864" s="283" t="str">
        <f>VLOOKUP(AF864,[2]AKT!$C$4:$E$324,3,FALSE)</f>
        <v>0942</v>
      </c>
    </row>
    <row r="865" spans="30:33">
      <c r="AD865" s="283" t="s">
        <v>931</v>
      </c>
      <c r="AE865" s="283" t="s">
        <v>930</v>
      </c>
      <c r="AF865" s="283" t="str">
        <f t="shared" si="89"/>
        <v>A679078</v>
      </c>
      <c r="AG865" s="283" t="str">
        <f>VLOOKUP(AF865,[2]AKT!$C$4:$E$324,3,FALSE)</f>
        <v>0942</v>
      </c>
    </row>
    <row r="866" spans="30:33">
      <c r="AD866" s="283" t="s">
        <v>929</v>
      </c>
      <c r="AE866" s="283" t="s">
        <v>928</v>
      </c>
      <c r="AF866" s="283" t="str">
        <f t="shared" si="89"/>
        <v>A679078</v>
      </c>
      <c r="AG866" s="283" t="str">
        <f>VLOOKUP(AF866,[2]AKT!$C$4:$E$324,3,FALSE)</f>
        <v>0942</v>
      </c>
    </row>
    <row r="867" spans="30:33">
      <c r="AD867" s="283" t="s">
        <v>927</v>
      </c>
      <c r="AE867" s="283" t="s">
        <v>926</v>
      </c>
      <c r="AF867" s="283" t="str">
        <f t="shared" si="89"/>
        <v>A679078</v>
      </c>
      <c r="AG867" s="283" t="str">
        <f>VLOOKUP(AF867,[2]AKT!$C$4:$E$324,3,FALSE)</f>
        <v>0942</v>
      </c>
    </row>
    <row r="868" spans="30:33">
      <c r="AD868" s="283" t="s">
        <v>925</v>
      </c>
      <c r="AE868" s="283" t="s">
        <v>924</v>
      </c>
      <c r="AF868" s="283" t="str">
        <f t="shared" si="89"/>
        <v>A679078</v>
      </c>
      <c r="AG868" s="283" t="str">
        <f>VLOOKUP(AF868,[2]AKT!$C$4:$E$324,3,FALSE)</f>
        <v>0942</v>
      </c>
    </row>
    <row r="869" spans="30:33">
      <c r="AD869" s="283" t="s">
        <v>923</v>
      </c>
      <c r="AE869" s="283" t="s">
        <v>922</v>
      </c>
      <c r="AF869" s="283" t="str">
        <f t="shared" si="89"/>
        <v>A679078</v>
      </c>
      <c r="AG869" s="283" t="str">
        <f>VLOOKUP(AF869,[2]AKT!$C$4:$E$324,3,FALSE)</f>
        <v>0942</v>
      </c>
    </row>
    <row r="870" spans="30:33">
      <c r="AD870" s="283" t="s">
        <v>921</v>
      </c>
      <c r="AE870" s="283" t="s">
        <v>920</v>
      </c>
      <c r="AF870" s="283" t="str">
        <f t="shared" si="89"/>
        <v>A679078</v>
      </c>
      <c r="AG870" s="283" t="str">
        <f>VLOOKUP(AF870,[2]AKT!$C$4:$E$324,3,FALSE)</f>
        <v>0942</v>
      </c>
    </row>
    <row r="871" spans="30:33">
      <c r="AD871" s="283" t="s">
        <v>919</v>
      </c>
      <c r="AE871" s="283" t="s">
        <v>523</v>
      </c>
      <c r="AF871" s="283" t="str">
        <f t="shared" si="89"/>
        <v>A679078</v>
      </c>
      <c r="AG871" s="283" t="str">
        <f>VLOOKUP(AF871,[2]AKT!$C$4:$E$324,3,FALSE)</f>
        <v>0942</v>
      </c>
    </row>
    <row r="872" spans="30:33">
      <c r="AD872" s="283" t="s">
        <v>918</v>
      </c>
      <c r="AE872" s="283" t="s">
        <v>917</v>
      </c>
      <c r="AF872" s="283" t="str">
        <f t="shared" si="89"/>
        <v>A679078</v>
      </c>
      <c r="AG872" s="283" t="str">
        <f>VLOOKUP(AF872,[2]AKT!$C$4:$E$324,3,FALSE)</f>
        <v>0942</v>
      </c>
    </row>
    <row r="873" spans="30:33">
      <c r="AD873" s="283" t="s">
        <v>916</v>
      </c>
      <c r="AE873" s="283" t="s">
        <v>915</v>
      </c>
      <c r="AF873" s="283" t="str">
        <f t="shared" si="89"/>
        <v>A679078</v>
      </c>
      <c r="AG873" s="283" t="str">
        <f>VLOOKUP(AF873,[2]AKT!$C$4:$E$324,3,FALSE)</f>
        <v>0942</v>
      </c>
    </row>
    <row r="874" spans="30:33">
      <c r="AD874" s="283" t="s">
        <v>914</v>
      </c>
      <c r="AE874" s="283" t="s">
        <v>913</v>
      </c>
      <c r="AF874" s="283" t="str">
        <f t="shared" si="89"/>
        <v>A679078</v>
      </c>
      <c r="AG874" s="283" t="str">
        <f>VLOOKUP(AF874,[2]AKT!$C$4:$E$324,3,FALSE)</f>
        <v>0942</v>
      </c>
    </row>
    <row r="875" spans="30:33">
      <c r="AD875" s="283" t="s">
        <v>912</v>
      </c>
      <c r="AE875" s="283" t="s">
        <v>911</v>
      </c>
      <c r="AF875" s="283" t="str">
        <f t="shared" si="89"/>
        <v>A679078</v>
      </c>
      <c r="AG875" s="283" t="str">
        <f>VLOOKUP(AF875,[2]AKT!$C$4:$E$324,3,FALSE)</f>
        <v>0942</v>
      </c>
    </row>
    <row r="876" spans="30:33">
      <c r="AD876" s="283" t="s">
        <v>910</v>
      </c>
      <c r="AE876" s="283" t="s">
        <v>909</v>
      </c>
      <c r="AF876" s="283" t="str">
        <f t="shared" si="89"/>
        <v>A679078</v>
      </c>
      <c r="AG876" s="283" t="str">
        <f>VLOOKUP(AF876,[2]AKT!$C$4:$E$324,3,FALSE)</f>
        <v>0942</v>
      </c>
    </row>
    <row r="877" spans="30:33">
      <c r="AD877" s="283" t="s">
        <v>908</v>
      </c>
      <c r="AE877" s="283" t="s">
        <v>907</v>
      </c>
      <c r="AF877" s="283" t="str">
        <f t="shared" si="89"/>
        <v>A679078</v>
      </c>
      <c r="AG877" s="283" t="str">
        <f>VLOOKUP(AF877,[2]AKT!$C$4:$E$324,3,FALSE)</f>
        <v>0942</v>
      </c>
    </row>
    <row r="878" spans="30:33">
      <c r="AD878" s="283" t="s">
        <v>906</v>
      </c>
      <c r="AE878" s="283" t="s">
        <v>905</v>
      </c>
      <c r="AF878" s="283" t="str">
        <f t="shared" si="89"/>
        <v>A679078</v>
      </c>
      <c r="AG878" s="283" t="str">
        <f>VLOOKUP(AF878,[2]AKT!$C$4:$E$324,3,FALSE)</f>
        <v>0942</v>
      </c>
    </row>
    <row r="879" spans="30:33">
      <c r="AD879" s="283" t="s">
        <v>904</v>
      </c>
      <c r="AE879" s="283" t="s">
        <v>903</v>
      </c>
      <c r="AF879" s="283" t="str">
        <f t="shared" si="89"/>
        <v>A679078</v>
      </c>
      <c r="AG879" s="283" t="str">
        <f>VLOOKUP(AF879,[2]AKT!$C$4:$E$324,3,FALSE)</f>
        <v>0942</v>
      </c>
    </row>
    <row r="880" spans="30:33">
      <c r="AD880" s="283" t="s">
        <v>902</v>
      </c>
      <c r="AE880" s="283" t="s">
        <v>901</v>
      </c>
      <c r="AF880" s="283" t="str">
        <f t="shared" si="89"/>
        <v>A679078</v>
      </c>
      <c r="AG880" s="283" t="str">
        <f>VLOOKUP(AF880,[2]AKT!$C$4:$E$324,3,FALSE)</f>
        <v>0942</v>
      </c>
    </row>
    <row r="881" spans="30:33">
      <c r="AD881" s="283" t="s">
        <v>900</v>
      </c>
      <c r="AE881" s="283" t="s">
        <v>899</v>
      </c>
      <c r="AF881" s="283" t="str">
        <f t="shared" si="89"/>
        <v>A679078</v>
      </c>
      <c r="AG881" s="283" t="str">
        <f>VLOOKUP(AF881,[2]AKT!$C$4:$E$324,3,FALSE)</f>
        <v>0942</v>
      </c>
    </row>
    <row r="882" spans="30:33">
      <c r="AD882" s="283" t="s">
        <v>898</v>
      </c>
      <c r="AE882" s="283" t="s">
        <v>897</v>
      </c>
      <c r="AF882" s="283" t="str">
        <f t="shared" si="89"/>
        <v>A679078</v>
      </c>
      <c r="AG882" s="283" t="str">
        <f>VLOOKUP(AF882,[2]AKT!$C$4:$E$324,3,FALSE)</f>
        <v>0942</v>
      </c>
    </row>
    <row r="883" spans="30:33">
      <c r="AD883" s="283" t="s">
        <v>896</v>
      </c>
      <c r="AE883" s="283" t="s">
        <v>895</v>
      </c>
      <c r="AF883" s="283" t="str">
        <f t="shared" si="89"/>
        <v>A679078</v>
      </c>
      <c r="AG883" s="283" t="str">
        <f>VLOOKUP(AF883,[2]AKT!$C$4:$E$324,3,FALSE)</f>
        <v>0942</v>
      </c>
    </row>
    <row r="884" spans="30:33">
      <c r="AD884" s="283" t="s">
        <v>894</v>
      </c>
      <c r="AE884" s="283" t="s">
        <v>893</v>
      </c>
      <c r="AF884" s="283" t="str">
        <f t="shared" si="89"/>
        <v>A679078</v>
      </c>
      <c r="AG884" s="283" t="str">
        <f>VLOOKUP(AF884,[2]AKT!$C$4:$E$324,3,FALSE)</f>
        <v>0942</v>
      </c>
    </row>
    <row r="885" spans="30:33">
      <c r="AD885" s="283" t="s">
        <v>892</v>
      </c>
      <c r="AE885" s="283" t="s">
        <v>891</v>
      </c>
      <c r="AF885" s="283" t="str">
        <f t="shared" si="89"/>
        <v>A679078</v>
      </c>
      <c r="AG885" s="283" t="str">
        <f>VLOOKUP(AF885,[2]AKT!$C$4:$E$324,3,FALSE)</f>
        <v>0942</v>
      </c>
    </row>
    <row r="886" spans="30:33">
      <c r="AD886" s="283" t="s">
        <v>890</v>
      </c>
      <c r="AE886" s="283" t="s">
        <v>889</v>
      </c>
      <c r="AF886" s="283" t="str">
        <f t="shared" si="89"/>
        <v>A679078</v>
      </c>
      <c r="AG886" s="283" t="str">
        <f>VLOOKUP(AF886,[2]AKT!$C$4:$E$324,3,FALSE)</f>
        <v>0942</v>
      </c>
    </row>
    <row r="887" spans="30:33">
      <c r="AD887" s="283" t="s">
        <v>888</v>
      </c>
      <c r="AE887" s="283" t="s">
        <v>887</v>
      </c>
      <c r="AF887" s="283" t="str">
        <f t="shared" si="89"/>
        <v>A679078</v>
      </c>
      <c r="AG887" s="283" t="str">
        <f>VLOOKUP(AF887,[2]AKT!$C$4:$E$324,3,FALSE)</f>
        <v>0942</v>
      </c>
    </row>
    <row r="888" spans="30:33">
      <c r="AD888" s="283" t="s">
        <v>886</v>
      </c>
      <c r="AE888" s="283" t="s">
        <v>885</v>
      </c>
      <c r="AF888" s="283" t="str">
        <f t="shared" si="89"/>
        <v>A679078</v>
      </c>
      <c r="AG888" s="283" t="str">
        <f>VLOOKUP(AF888,[2]AKT!$C$4:$E$324,3,FALSE)</f>
        <v>0942</v>
      </c>
    </row>
    <row r="889" spans="30:33">
      <c r="AD889" s="283" t="s">
        <v>884</v>
      </c>
      <c r="AE889" s="283" t="s">
        <v>883</v>
      </c>
      <c r="AF889" s="283" t="str">
        <f t="shared" si="89"/>
        <v>A679078</v>
      </c>
      <c r="AG889" s="283" t="str">
        <f>VLOOKUP(AF889,[2]AKT!$C$4:$E$324,3,FALSE)</f>
        <v>0942</v>
      </c>
    </row>
    <row r="890" spans="30:33">
      <c r="AD890" s="283" t="s">
        <v>882</v>
      </c>
      <c r="AE890" s="283" t="s">
        <v>881</v>
      </c>
      <c r="AF890" s="283" t="str">
        <f t="shared" si="89"/>
        <v>A679078</v>
      </c>
      <c r="AG890" s="283" t="str">
        <f>VLOOKUP(AF890,[2]AKT!$C$4:$E$324,3,FALSE)</f>
        <v>0942</v>
      </c>
    </row>
    <row r="891" spans="30:33">
      <c r="AD891" s="283" t="s">
        <v>880</v>
      </c>
      <c r="AE891" s="283" t="s">
        <v>879</v>
      </c>
      <c r="AF891" s="283" t="str">
        <f t="shared" ref="AF891:AF954" si="90">LEFT(AD891,7)</f>
        <v>A679078</v>
      </c>
      <c r="AG891" s="283" t="str">
        <f>VLOOKUP(AF891,[2]AKT!$C$4:$E$324,3,FALSE)</f>
        <v>0942</v>
      </c>
    </row>
    <row r="892" spans="30:33">
      <c r="AD892" s="283" t="s">
        <v>878</v>
      </c>
      <c r="AE892" s="283" t="s">
        <v>877</v>
      </c>
      <c r="AF892" s="283" t="str">
        <f t="shared" si="90"/>
        <v>A679078</v>
      </c>
      <c r="AG892" s="283" t="str">
        <f>VLOOKUP(AF892,[2]AKT!$C$4:$E$324,3,FALSE)</f>
        <v>0942</v>
      </c>
    </row>
    <row r="893" spans="30:33">
      <c r="AD893" s="283" t="s">
        <v>876</v>
      </c>
      <c r="AE893" s="283" t="s">
        <v>875</v>
      </c>
      <c r="AF893" s="283" t="str">
        <f t="shared" si="90"/>
        <v>A679078</v>
      </c>
      <c r="AG893" s="283" t="str">
        <f>VLOOKUP(AF893,[2]AKT!$C$4:$E$324,3,FALSE)</f>
        <v>0942</v>
      </c>
    </row>
    <row r="894" spans="30:33">
      <c r="AD894" s="283" t="s">
        <v>874</v>
      </c>
      <c r="AE894" s="283" t="s">
        <v>873</v>
      </c>
      <c r="AF894" s="283" t="str">
        <f t="shared" si="90"/>
        <v>A679078</v>
      </c>
      <c r="AG894" s="283" t="str">
        <f>VLOOKUP(AF894,[2]AKT!$C$4:$E$324,3,FALSE)</f>
        <v>0942</v>
      </c>
    </row>
    <row r="895" spans="30:33">
      <c r="AD895" s="283" t="s">
        <v>872</v>
      </c>
      <c r="AE895" s="283" t="s">
        <v>871</v>
      </c>
      <c r="AF895" s="283" t="str">
        <f t="shared" si="90"/>
        <v>A679078</v>
      </c>
      <c r="AG895" s="283" t="str">
        <f>VLOOKUP(AF895,[2]AKT!$C$4:$E$324,3,FALSE)</f>
        <v>0942</v>
      </c>
    </row>
    <row r="896" spans="30:33">
      <c r="AD896" s="283" t="s">
        <v>870</v>
      </c>
      <c r="AE896" s="283" t="s">
        <v>869</v>
      </c>
      <c r="AF896" s="283" t="str">
        <f t="shared" si="90"/>
        <v>A679078</v>
      </c>
      <c r="AG896" s="283" t="str">
        <f>VLOOKUP(AF896,[2]AKT!$C$4:$E$324,3,FALSE)</f>
        <v>0942</v>
      </c>
    </row>
    <row r="897" spans="30:33">
      <c r="AD897" s="283" t="s">
        <v>868</v>
      </c>
      <c r="AE897" s="283" t="s">
        <v>867</v>
      </c>
      <c r="AF897" s="283" t="str">
        <f t="shared" si="90"/>
        <v>A679078</v>
      </c>
      <c r="AG897" s="283" t="str">
        <f>VLOOKUP(AF897,[2]AKT!$C$4:$E$324,3,FALSE)</f>
        <v>0942</v>
      </c>
    </row>
    <row r="898" spans="30:33">
      <c r="AD898" s="283" t="s">
        <v>866</v>
      </c>
      <c r="AE898" s="283" t="s">
        <v>865</v>
      </c>
      <c r="AF898" s="283" t="str">
        <f t="shared" si="90"/>
        <v>A679078</v>
      </c>
      <c r="AG898" s="283" t="str">
        <f>VLOOKUP(AF898,[2]AKT!$C$4:$E$324,3,FALSE)</f>
        <v>0942</v>
      </c>
    </row>
    <row r="899" spans="30:33">
      <c r="AD899" s="283" t="s">
        <v>864</v>
      </c>
      <c r="AE899" s="283" t="s">
        <v>863</v>
      </c>
      <c r="AF899" s="283" t="str">
        <f t="shared" si="90"/>
        <v>A679078</v>
      </c>
      <c r="AG899" s="283" t="str">
        <f>VLOOKUP(AF899,[2]AKT!$C$4:$E$324,3,FALSE)</f>
        <v>0942</v>
      </c>
    </row>
    <row r="900" spans="30:33">
      <c r="AD900" s="283" t="s">
        <v>862</v>
      </c>
      <c r="AE900" s="283" t="s">
        <v>861</v>
      </c>
      <c r="AF900" s="283" t="str">
        <f t="shared" si="90"/>
        <v>A679078</v>
      </c>
      <c r="AG900" s="283" t="str">
        <f>VLOOKUP(AF900,[2]AKT!$C$4:$E$324,3,FALSE)</f>
        <v>0942</v>
      </c>
    </row>
    <row r="901" spans="30:33">
      <c r="AD901" s="283" t="s">
        <v>860</v>
      </c>
      <c r="AE901" s="283" t="s">
        <v>859</v>
      </c>
      <c r="AF901" s="283" t="str">
        <f t="shared" si="90"/>
        <v>A679078</v>
      </c>
      <c r="AG901" s="283" t="str">
        <f>VLOOKUP(AF901,[2]AKT!$C$4:$E$324,3,FALSE)</f>
        <v>0942</v>
      </c>
    </row>
    <row r="902" spans="30:33">
      <c r="AD902" s="283" t="s">
        <v>858</v>
      </c>
      <c r="AE902" s="283" t="s">
        <v>857</v>
      </c>
      <c r="AF902" s="283" t="str">
        <f t="shared" si="90"/>
        <v>A679078</v>
      </c>
      <c r="AG902" s="283" t="str">
        <f>VLOOKUP(AF902,[2]AKT!$C$4:$E$324,3,FALSE)</f>
        <v>0942</v>
      </c>
    </row>
    <row r="903" spans="30:33">
      <c r="AD903" s="283" t="s">
        <v>856</v>
      </c>
      <c r="AE903" s="283" t="s">
        <v>855</v>
      </c>
      <c r="AF903" s="283" t="str">
        <f t="shared" si="90"/>
        <v>A679078</v>
      </c>
      <c r="AG903" s="283" t="str">
        <f>VLOOKUP(AF903,[2]AKT!$C$4:$E$324,3,FALSE)</f>
        <v>0942</v>
      </c>
    </row>
    <row r="904" spans="30:33">
      <c r="AD904" s="283" t="s">
        <v>854</v>
      </c>
      <c r="AE904" s="283" t="s">
        <v>853</v>
      </c>
      <c r="AF904" s="283" t="str">
        <f t="shared" si="90"/>
        <v>A679078</v>
      </c>
      <c r="AG904" s="283" t="str">
        <f>VLOOKUP(AF904,[2]AKT!$C$4:$E$324,3,FALSE)</f>
        <v>0942</v>
      </c>
    </row>
    <row r="905" spans="30:33">
      <c r="AD905" s="283" t="s">
        <v>852</v>
      </c>
      <c r="AE905" s="283" t="s">
        <v>851</v>
      </c>
      <c r="AF905" s="283" t="str">
        <f t="shared" si="90"/>
        <v>A679078</v>
      </c>
      <c r="AG905" s="283" t="str">
        <f>VLOOKUP(AF905,[2]AKT!$C$4:$E$324,3,FALSE)</f>
        <v>0942</v>
      </c>
    </row>
    <row r="906" spans="30:33">
      <c r="AD906" s="283" t="s">
        <v>850</v>
      </c>
      <c r="AE906" s="283" t="s">
        <v>849</v>
      </c>
      <c r="AF906" s="283" t="str">
        <f t="shared" si="90"/>
        <v>A679078</v>
      </c>
      <c r="AG906" s="283" t="str">
        <f>VLOOKUP(AF906,[2]AKT!$C$4:$E$324,3,FALSE)</f>
        <v>0942</v>
      </c>
    </row>
    <row r="907" spans="30:33">
      <c r="AD907" s="283" t="s">
        <v>848</v>
      </c>
      <c r="AE907" s="283" t="s">
        <v>847</v>
      </c>
      <c r="AF907" s="283" t="str">
        <f t="shared" si="90"/>
        <v>A679078</v>
      </c>
      <c r="AG907" s="283" t="str">
        <f>VLOOKUP(AF907,[2]AKT!$C$4:$E$324,3,FALSE)</f>
        <v>0942</v>
      </c>
    </row>
    <row r="908" spans="30:33">
      <c r="AD908" s="283" t="s">
        <v>846</v>
      </c>
      <c r="AE908" s="283" t="s">
        <v>845</v>
      </c>
      <c r="AF908" s="283" t="str">
        <f t="shared" si="90"/>
        <v>A679078</v>
      </c>
      <c r="AG908" s="283" t="str">
        <f>VLOOKUP(AF908,[2]AKT!$C$4:$E$324,3,FALSE)</f>
        <v>0942</v>
      </c>
    </row>
    <row r="909" spans="30:33">
      <c r="AD909" s="283" t="s">
        <v>844</v>
      </c>
      <c r="AE909" s="283" t="s">
        <v>843</v>
      </c>
      <c r="AF909" s="283" t="str">
        <f t="shared" si="90"/>
        <v>A679078</v>
      </c>
      <c r="AG909" s="283" t="str">
        <f>VLOOKUP(AF909,[2]AKT!$C$4:$E$324,3,FALSE)</f>
        <v>0942</v>
      </c>
    </row>
    <row r="910" spans="30:33">
      <c r="AD910" s="283" t="s">
        <v>842</v>
      </c>
      <c r="AE910" s="283" t="s">
        <v>841</v>
      </c>
      <c r="AF910" s="283" t="str">
        <f t="shared" si="90"/>
        <v>A679078</v>
      </c>
      <c r="AG910" s="283" t="str">
        <f>VLOOKUP(AF910,[2]AKT!$C$4:$E$324,3,FALSE)</f>
        <v>0942</v>
      </c>
    </row>
    <row r="911" spans="30:33">
      <c r="AD911" s="283" t="s">
        <v>840</v>
      </c>
      <c r="AE911" s="283" t="s">
        <v>839</v>
      </c>
      <c r="AF911" s="283" t="str">
        <f t="shared" si="90"/>
        <v>A679078</v>
      </c>
      <c r="AG911" s="283" t="str">
        <f>VLOOKUP(AF911,[2]AKT!$C$4:$E$324,3,FALSE)</f>
        <v>0942</v>
      </c>
    </row>
    <row r="912" spans="30:33">
      <c r="AD912" s="283" t="s">
        <v>838</v>
      </c>
      <c r="AE912" s="283" t="s">
        <v>837</v>
      </c>
      <c r="AF912" s="283" t="str">
        <f t="shared" si="90"/>
        <v>A679078</v>
      </c>
      <c r="AG912" s="283" t="str">
        <f>VLOOKUP(AF912,[2]AKT!$C$4:$E$324,3,FALSE)</f>
        <v>0942</v>
      </c>
    </row>
    <row r="913" spans="30:33">
      <c r="AD913" s="283" t="s">
        <v>836</v>
      </c>
      <c r="AE913" s="283" t="s">
        <v>835</v>
      </c>
      <c r="AF913" s="283" t="str">
        <f t="shared" si="90"/>
        <v>A679078</v>
      </c>
      <c r="AG913" s="283" t="str">
        <f>VLOOKUP(AF913,[2]AKT!$C$4:$E$324,3,FALSE)</f>
        <v>0942</v>
      </c>
    </row>
    <row r="914" spans="30:33">
      <c r="AD914" s="283" t="s">
        <v>834</v>
      </c>
      <c r="AE914" s="283" t="s">
        <v>833</v>
      </c>
      <c r="AF914" s="283" t="str">
        <f t="shared" si="90"/>
        <v>A679078</v>
      </c>
      <c r="AG914" s="283" t="str">
        <f>VLOOKUP(AF914,[2]AKT!$C$4:$E$324,3,FALSE)</f>
        <v>0942</v>
      </c>
    </row>
    <row r="915" spans="30:33">
      <c r="AD915" s="283" t="s">
        <v>832</v>
      </c>
      <c r="AE915" s="283" t="s">
        <v>831</v>
      </c>
      <c r="AF915" s="283" t="str">
        <f t="shared" si="90"/>
        <v>A679078</v>
      </c>
      <c r="AG915" s="283" t="str">
        <f>VLOOKUP(AF915,[2]AKT!$C$4:$E$324,3,FALSE)</f>
        <v>0942</v>
      </c>
    </row>
    <row r="916" spans="30:33">
      <c r="AD916" s="283" t="s">
        <v>830</v>
      </c>
      <c r="AE916" s="283" t="s">
        <v>829</v>
      </c>
      <c r="AF916" s="283" t="str">
        <f t="shared" si="90"/>
        <v>A679078</v>
      </c>
      <c r="AG916" s="283" t="str">
        <f>VLOOKUP(AF916,[2]AKT!$C$4:$E$324,3,FALSE)</f>
        <v>0942</v>
      </c>
    </row>
    <row r="917" spans="30:33">
      <c r="AD917" s="283" t="s">
        <v>828</v>
      </c>
      <c r="AE917" s="283" t="s">
        <v>827</v>
      </c>
      <c r="AF917" s="283" t="str">
        <f t="shared" si="90"/>
        <v>A679078</v>
      </c>
      <c r="AG917" s="283" t="str">
        <f>VLOOKUP(AF917,[2]AKT!$C$4:$E$324,3,FALSE)</f>
        <v>0942</v>
      </c>
    </row>
    <row r="918" spans="30:33">
      <c r="AD918" s="283" t="s">
        <v>826</v>
      </c>
      <c r="AE918" s="283" t="s">
        <v>825</v>
      </c>
      <c r="AF918" s="283" t="str">
        <f t="shared" si="90"/>
        <v>A679078</v>
      </c>
      <c r="AG918" s="283" t="str">
        <f>VLOOKUP(AF918,[2]AKT!$C$4:$E$324,3,FALSE)</f>
        <v>0942</v>
      </c>
    </row>
    <row r="919" spans="30:33">
      <c r="AD919" s="283" t="s">
        <v>824</v>
      </c>
      <c r="AE919" s="283" t="s">
        <v>823</v>
      </c>
      <c r="AF919" s="283" t="str">
        <f t="shared" si="90"/>
        <v>A679078</v>
      </c>
      <c r="AG919" s="283" t="str">
        <f>VLOOKUP(AF919,[2]AKT!$C$4:$E$324,3,FALSE)</f>
        <v>0942</v>
      </c>
    </row>
    <row r="920" spans="30:33">
      <c r="AD920" s="283" t="s">
        <v>822</v>
      </c>
      <c r="AE920" s="283" t="s">
        <v>493</v>
      </c>
      <c r="AF920" s="283" t="str">
        <f t="shared" si="90"/>
        <v>A679078</v>
      </c>
      <c r="AG920" s="283" t="str">
        <f>VLOOKUP(AF920,[2]AKT!$C$4:$E$324,3,FALSE)</f>
        <v>0942</v>
      </c>
    </row>
    <row r="921" spans="30:33">
      <c r="AD921" s="283" t="s">
        <v>821</v>
      </c>
      <c r="AE921" s="283" t="s">
        <v>820</v>
      </c>
      <c r="AF921" s="283" t="str">
        <f t="shared" si="90"/>
        <v>A679078</v>
      </c>
      <c r="AG921" s="283" t="str">
        <f>VLOOKUP(AF921,[2]AKT!$C$4:$E$324,3,FALSE)</f>
        <v>0942</v>
      </c>
    </row>
    <row r="922" spans="30:33">
      <c r="AD922" s="283" t="s">
        <v>819</v>
      </c>
      <c r="AE922" s="283" t="s">
        <v>818</v>
      </c>
      <c r="AF922" s="283" t="str">
        <f t="shared" si="90"/>
        <v>A679078</v>
      </c>
      <c r="AG922" s="283" t="str">
        <f>VLOOKUP(AF922,[2]AKT!$C$4:$E$324,3,FALSE)</f>
        <v>0942</v>
      </c>
    </row>
    <row r="923" spans="30:33">
      <c r="AD923" s="283" t="s">
        <v>817</v>
      </c>
      <c r="AE923" s="283" t="s">
        <v>816</v>
      </c>
      <c r="AF923" s="283" t="str">
        <f t="shared" si="90"/>
        <v>A679078</v>
      </c>
      <c r="AG923" s="283" t="str">
        <f>VLOOKUP(AF923,[2]AKT!$C$4:$E$324,3,FALSE)</f>
        <v>0942</v>
      </c>
    </row>
    <row r="924" spans="30:33">
      <c r="AD924" s="283" t="s">
        <v>815</v>
      </c>
      <c r="AE924" s="283" t="s">
        <v>814</v>
      </c>
      <c r="AF924" s="283" t="str">
        <f t="shared" si="90"/>
        <v>A679078</v>
      </c>
      <c r="AG924" s="283" t="str">
        <f>VLOOKUP(AF924,[2]AKT!$C$4:$E$324,3,FALSE)</f>
        <v>0942</v>
      </c>
    </row>
    <row r="925" spans="30:33">
      <c r="AD925" s="283" t="s">
        <v>813</v>
      </c>
      <c r="AE925" s="283" t="s">
        <v>812</v>
      </c>
      <c r="AF925" s="283" t="str">
        <f t="shared" si="90"/>
        <v>A679081</v>
      </c>
      <c r="AG925" s="283" t="str">
        <f>VLOOKUP(AF925,[2]AKT!$C$4:$E$324,3,FALSE)</f>
        <v>0942</v>
      </c>
    </row>
    <row r="926" spans="30:33">
      <c r="AD926" s="283" t="s">
        <v>811</v>
      </c>
      <c r="AE926" s="283" t="s">
        <v>810</v>
      </c>
      <c r="AF926" s="283" t="str">
        <f t="shared" si="90"/>
        <v>A679081</v>
      </c>
      <c r="AG926" s="283" t="str">
        <f>VLOOKUP(AF926,[2]AKT!$C$4:$E$324,3,FALSE)</f>
        <v>0942</v>
      </c>
    </row>
    <row r="927" spans="30:33">
      <c r="AD927" s="283" t="s">
        <v>809</v>
      </c>
      <c r="AE927" s="283" t="s">
        <v>808</v>
      </c>
      <c r="AF927" s="283" t="str">
        <f t="shared" si="90"/>
        <v>A679081</v>
      </c>
      <c r="AG927" s="283" t="str">
        <f>VLOOKUP(AF927,[2]AKT!$C$4:$E$324,3,FALSE)</f>
        <v>0942</v>
      </c>
    </row>
    <row r="928" spans="30:33">
      <c r="AD928" s="283" t="s">
        <v>807</v>
      </c>
      <c r="AE928" s="283" t="s">
        <v>806</v>
      </c>
      <c r="AF928" s="283" t="str">
        <f t="shared" si="90"/>
        <v>A679081</v>
      </c>
      <c r="AG928" s="283" t="str">
        <f>VLOOKUP(AF928,[2]AKT!$C$4:$E$324,3,FALSE)</f>
        <v>0942</v>
      </c>
    </row>
    <row r="929" spans="30:33">
      <c r="AD929" s="283" t="s">
        <v>805</v>
      </c>
      <c r="AE929" s="283" t="s">
        <v>804</v>
      </c>
      <c r="AF929" s="283" t="str">
        <f t="shared" si="90"/>
        <v>A679081</v>
      </c>
      <c r="AG929" s="283" t="str">
        <f>VLOOKUP(AF929,[2]AKT!$C$4:$E$324,3,FALSE)</f>
        <v>0942</v>
      </c>
    </row>
    <row r="930" spans="30:33">
      <c r="AD930" s="283" t="s">
        <v>803</v>
      </c>
      <c r="AE930" s="283" t="s">
        <v>802</v>
      </c>
      <c r="AF930" s="283" t="str">
        <f t="shared" si="90"/>
        <v>A679081</v>
      </c>
      <c r="AG930" s="283" t="str">
        <f>VLOOKUP(AF930,[2]AKT!$C$4:$E$324,3,FALSE)</f>
        <v>0942</v>
      </c>
    </row>
    <row r="931" spans="30:33">
      <c r="AD931" s="283" t="s">
        <v>801</v>
      </c>
      <c r="AE931" s="283" t="s">
        <v>800</v>
      </c>
      <c r="AF931" s="283" t="str">
        <f t="shared" si="90"/>
        <v>A679081</v>
      </c>
      <c r="AG931" s="283" t="str">
        <f>VLOOKUP(AF931,[2]AKT!$C$4:$E$324,3,FALSE)</f>
        <v>0942</v>
      </c>
    </row>
    <row r="932" spans="30:33">
      <c r="AD932" s="283" t="s">
        <v>799</v>
      </c>
      <c r="AE932" s="283" t="s">
        <v>798</v>
      </c>
      <c r="AF932" s="283" t="str">
        <f t="shared" si="90"/>
        <v>A679081</v>
      </c>
      <c r="AG932" s="283" t="str">
        <f>VLOOKUP(AF932,[2]AKT!$C$4:$E$324,3,FALSE)</f>
        <v>0942</v>
      </c>
    </row>
    <row r="933" spans="30:33">
      <c r="AD933" s="283" t="s">
        <v>797</v>
      </c>
      <c r="AE933" s="283" t="s">
        <v>796</v>
      </c>
      <c r="AF933" s="283" t="str">
        <f t="shared" si="90"/>
        <v>A679081</v>
      </c>
      <c r="AG933" s="283" t="str">
        <f>VLOOKUP(AF933,[2]AKT!$C$4:$E$324,3,FALSE)</f>
        <v>0942</v>
      </c>
    </row>
    <row r="934" spans="30:33">
      <c r="AD934" s="283" t="s">
        <v>795</v>
      </c>
      <c r="AE934" s="283" t="s">
        <v>794</v>
      </c>
      <c r="AF934" s="283" t="str">
        <f t="shared" si="90"/>
        <v>A679081</v>
      </c>
      <c r="AG934" s="283" t="str">
        <f>VLOOKUP(AF934,[2]AKT!$C$4:$E$324,3,FALSE)</f>
        <v>0942</v>
      </c>
    </row>
    <row r="935" spans="30:33">
      <c r="AD935" s="283" t="s">
        <v>793</v>
      </c>
      <c r="AE935" s="283" t="s">
        <v>792</v>
      </c>
      <c r="AF935" s="283" t="str">
        <f t="shared" si="90"/>
        <v>A679081</v>
      </c>
      <c r="AG935" s="283" t="str">
        <f>VLOOKUP(AF935,[2]AKT!$C$4:$E$324,3,FALSE)</f>
        <v>0942</v>
      </c>
    </row>
    <row r="936" spans="30:33">
      <c r="AD936" s="283" t="s">
        <v>791</v>
      </c>
      <c r="AE936" s="283" t="s">
        <v>790</v>
      </c>
      <c r="AF936" s="283" t="str">
        <f t="shared" si="90"/>
        <v>A679115</v>
      </c>
      <c r="AG936" s="283" t="str">
        <f>VLOOKUP(AF936,[2]AKT!$C$4:$E$324,3,FALSE)</f>
        <v>0942</v>
      </c>
    </row>
    <row r="937" spans="30:33">
      <c r="AD937" s="283" t="s">
        <v>789</v>
      </c>
      <c r="AE937" s="283" t="s">
        <v>788</v>
      </c>
      <c r="AF937" s="283" t="str">
        <f t="shared" si="90"/>
        <v>A679115</v>
      </c>
      <c r="AG937" s="283" t="str">
        <f>VLOOKUP(AF937,[2]AKT!$C$4:$E$324,3,FALSE)</f>
        <v>0942</v>
      </c>
    </row>
    <row r="938" spans="30:33">
      <c r="AD938" s="283" t="s">
        <v>787</v>
      </c>
      <c r="AE938" s="283" t="s">
        <v>786</v>
      </c>
      <c r="AF938" s="283" t="str">
        <f t="shared" si="90"/>
        <v>A679115</v>
      </c>
      <c r="AG938" s="283" t="str">
        <f>VLOOKUP(AF938,[2]AKT!$C$4:$E$324,3,FALSE)</f>
        <v>0942</v>
      </c>
    </row>
    <row r="939" spans="30:33">
      <c r="AD939" s="283" t="s">
        <v>785</v>
      </c>
      <c r="AE939" s="283" t="s">
        <v>784</v>
      </c>
      <c r="AF939" s="283" t="str">
        <f t="shared" si="90"/>
        <v>A679115</v>
      </c>
      <c r="AG939" s="283" t="str">
        <f>VLOOKUP(AF939,[2]AKT!$C$4:$E$324,3,FALSE)</f>
        <v>0942</v>
      </c>
    </row>
    <row r="940" spans="30:33">
      <c r="AD940" s="283" t="s">
        <v>783</v>
      </c>
      <c r="AE940" s="283" t="s">
        <v>782</v>
      </c>
      <c r="AF940" s="283" t="str">
        <f t="shared" si="90"/>
        <v>A679115</v>
      </c>
      <c r="AG940" s="283" t="str">
        <f>VLOOKUP(AF940,[2]AKT!$C$4:$E$324,3,FALSE)</f>
        <v>0942</v>
      </c>
    </row>
    <row r="941" spans="30:33">
      <c r="AD941" s="283" t="s">
        <v>781</v>
      </c>
      <c r="AE941" s="283" t="s">
        <v>780</v>
      </c>
      <c r="AF941" s="283" t="str">
        <f t="shared" si="90"/>
        <v>A679115</v>
      </c>
      <c r="AG941" s="283" t="str">
        <f>VLOOKUP(AF941,[2]AKT!$C$4:$E$324,3,FALSE)</f>
        <v>0942</v>
      </c>
    </row>
    <row r="942" spans="30:33">
      <c r="AD942" s="283" t="s">
        <v>779</v>
      </c>
      <c r="AE942" s="283" t="s">
        <v>778</v>
      </c>
      <c r="AF942" s="283" t="str">
        <f t="shared" si="90"/>
        <v>A679115</v>
      </c>
      <c r="AG942" s="283" t="str">
        <f>VLOOKUP(AF942,[2]AKT!$C$4:$E$324,3,FALSE)</f>
        <v>0942</v>
      </c>
    </row>
    <row r="943" spans="30:33">
      <c r="AD943" s="283" t="s">
        <v>777</v>
      </c>
      <c r="AE943" s="283" t="s">
        <v>776</v>
      </c>
      <c r="AF943" s="283" t="str">
        <f t="shared" si="90"/>
        <v>A679115</v>
      </c>
      <c r="AG943" s="283" t="str">
        <f>VLOOKUP(AF943,[2]AKT!$C$4:$E$324,3,FALSE)</f>
        <v>0942</v>
      </c>
    </row>
    <row r="944" spans="30:33">
      <c r="AD944" s="283" t="s">
        <v>775</v>
      </c>
      <c r="AE944" s="283" t="s">
        <v>505</v>
      </c>
      <c r="AF944" s="283" t="str">
        <f t="shared" si="90"/>
        <v>K679084</v>
      </c>
      <c r="AG944" s="283" t="str">
        <f>VLOOKUP(AF944,[2]AKT!$C$4:$E$324,3,FALSE)</f>
        <v>0942</v>
      </c>
    </row>
    <row r="945" spans="30:33">
      <c r="AD945" s="283" t="s">
        <v>774</v>
      </c>
      <c r="AE945" s="283" t="s">
        <v>503</v>
      </c>
      <c r="AF945" s="283" t="str">
        <f t="shared" si="90"/>
        <v>K679084</v>
      </c>
      <c r="AG945" s="283" t="str">
        <f>VLOOKUP(AF945,[2]AKT!$C$4:$E$324,3,FALSE)</f>
        <v>0942</v>
      </c>
    </row>
    <row r="946" spans="30:33">
      <c r="AD946" s="283" t="s">
        <v>773</v>
      </c>
      <c r="AE946" s="283" t="s">
        <v>499</v>
      </c>
      <c r="AF946" s="283" t="str">
        <f t="shared" si="90"/>
        <v>K679084</v>
      </c>
      <c r="AG946" s="283" t="str">
        <f>VLOOKUP(AF946,[2]AKT!$C$4:$E$324,3,FALSE)</f>
        <v>0942</v>
      </c>
    </row>
    <row r="947" spans="30:33">
      <c r="AD947" s="283" t="s">
        <v>772</v>
      </c>
      <c r="AE947" s="283" t="s">
        <v>771</v>
      </c>
      <c r="AF947" s="283" t="str">
        <f t="shared" si="90"/>
        <v>K679084</v>
      </c>
      <c r="AG947" s="283" t="str">
        <f>VLOOKUP(AF947,[2]AKT!$C$4:$E$324,3,FALSE)</f>
        <v>0942</v>
      </c>
    </row>
    <row r="948" spans="30:33">
      <c r="AD948" s="283" t="s">
        <v>770</v>
      </c>
      <c r="AE948" s="283" t="s">
        <v>495</v>
      </c>
      <c r="AF948" s="283" t="str">
        <f t="shared" si="90"/>
        <v>K679084</v>
      </c>
      <c r="AG948" s="283" t="str">
        <f>VLOOKUP(AF948,[2]AKT!$C$4:$E$324,3,FALSE)</f>
        <v>0942</v>
      </c>
    </row>
    <row r="949" spans="30:33">
      <c r="AD949" s="283" t="s">
        <v>769</v>
      </c>
      <c r="AE949" s="283" t="s">
        <v>493</v>
      </c>
      <c r="AF949" s="283" t="str">
        <f t="shared" si="90"/>
        <v>K679084</v>
      </c>
      <c r="AG949" s="283" t="str">
        <f>VLOOKUP(AF949,[2]AKT!$C$4:$E$324,3,FALSE)</f>
        <v>0942</v>
      </c>
    </row>
    <row r="950" spans="30:33">
      <c r="AD950" s="283" t="s">
        <v>768</v>
      </c>
      <c r="AE950" s="283" t="s">
        <v>491</v>
      </c>
      <c r="AF950" s="283" t="str">
        <f t="shared" si="90"/>
        <v>K679084</v>
      </c>
      <c r="AG950" s="283" t="str">
        <f>VLOOKUP(AF950,[2]AKT!$C$4:$E$324,3,FALSE)</f>
        <v>0942</v>
      </c>
    </row>
    <row r="951" spans="30:33">
      <c r="AD951" s="283" t="s">
        <v>767</v>
      </c>
      <c r="AE951" s="283" t="s">
        <v>766</v>
      </c>
      <c r="AF951" s="283" t="str">
        <f t="shared" si="90"/>
        <v>K679106</v>
      </c>
      <c r="AG951" s="283" t="str">
        <f>VLOOKUP(AF951,[2]AKT!$C$4:$E$324,3,FALSE)</f>
        <v>0942</v>
      </c>
    </row>
    <row r="952" spans="30:33">
      <c r="AD952" s="283" t="s">
        <v>765</v>
      </c>
      <c r="AE952" s="283" t="s">
        <v>764</v>
      </c>
      <c r="AF952" s="283" t="str">
        <f t="shared" si="90"/>
        <v>K679106</v>
      </c>
      <c r="AG952" s="283" t="str">
        <f>VLOOKUP(AF952,[2]AKT!$C$4:$E$324,3,FALSE)</f>
        <v>0942</v>
      </c>
    </row>
    <row r="953" spans="30:33">
      <c r="AD953" s="283" t="s">
        <v>763</v>
      </c>
      <c r="AE953" s="283" t="s">
        <v>762</v>
      </c>
      <c r="AF953" s="283" t="str">
        <f t="shared" si="90"/>
        <v>K679106</v>
      </c>
      <c r="AG953" s="283" t="str">
        <f>VLOOKUP(AF953,[2]AKT!$C$4:$E$324,3,FALSE)</f>
        <v>0942</v>
      </c>
    </row>
    <row r="954" spans="30:33">
      <c r="AD954" s="283" t="s">
        <v>761</v>
      </c>
      <c r="AE954" s="283" t="s">
        <v>760</v>
      </c>
      <c r="AF954" s="283" t="str">
        <f t="shared" si="90"/>
        <v>K679106</v>
      </c>
      <c r="AG954" s="283" t="str">
        <f>VLOOKUP(AF954,[2]AKT!$C$4:$E$324,3,FALSE)</f>
        <v>0942</v>
      </c>
    </row>
    <row r="955" spans="30:33">
      <c r="AD955" s="283" t="s">
        <v>759</v>
      </c>
      <c r="AE955" s="283" t="s">
        <v>758</v>
      </c>
      <c r="AF955" s="283" t="str">
        <f t="shared" ref="AF955:AF1018" si="91">LEFT(AD955,7)</f>
        <v>K679106</v>
      </c>
      <c r="AG955" s="283" t="str">
        <f>VLOOKUP(AF955,[2]AKT!$C$4:$E$324,3,FALSE)</f>
        <v>0942</v>
      </c>
    </row>
    <row r="956" spans="30:33">
      <c r="AD956" s="283" t="s">
        <v>757</v>
      </c>
      <c r="AE956" s="283" t="s">
        <v>756</v>
      </c>
      <c r="AF956" s="283" t="str">
        <f t="shared" si="91"/>
        <v>K679111</v>
      </c>
      <c r="AG956" s="283" t="str">
        <f>IFERROR(VLOOKUP(AF956,[2]AKT!$C$4:$E$324,3,FALSE),"0942")</f>
        <v>0942</v>
      </c>
    </row>
    <row r="957" spans="30:33">
      <c r="AD957" s="283" t="s">
        <v>755</v>
      </c>
      <c r="AE957" s="283" t="s">
        <v>753</v>
      </c>
      <c r="AF957" s="283" t="str">
        <f t="shared" si="91"/>
        <v>A622125</v>
      </c>
      <c r="AG957" s="283" t="str">
        <f>VLOOKUP(AF957,[2]AKT!$C$4:$E$324,3,FALSE)</f>
        <v>0150</v>
      </c>
    </row>
    <row r="958" spans="30:33">
      <c r="AD958" s="283" t="s">
        <v>754</v>
      </c>
      <c r="AE958" s="283" t="s">
        <v>753</v>
      </c>
      <c r="AF958" s="283" t="str">
        <f t="shared" si="91"/>
        <v>A622125</v>
      </c>
      <c r="AG958" s="283" t="str">
        <f>VLOOKUP(AF958,[2]AKT!$C$4:$E$324,3,FALSE)</f>
        <v>0150</v>
      </c>
    </row>
    <row r="959" spans="30:33">
      <c r="AD959" s="283" t="s">
        <v>752</v>
      </c>
      <c r="AE959" s="283" t="s">
        <v>751</v>
      </c>
      <c r="AF959" s="283" t="str">
        <f t="shared" si="91"/>
        <v>A622125</v>
      </c>
      <c r="AG959" s="283" t="str">
        <f>VLOOKUP(AF959,[2]AKT!$C$4:$E$324,3,FALSE)</f>
        <v>0150</v>
      </c>
    </row>
    <row r="960" spans="30:33">
      <c r="AD960" s="283" t="s">
        <v>750</v>
      </c>
      <c r="AE960" s="283" t="s">
        <v>749</v>
      </c>
      <c r="AF960" s="283" t="str">
        <f t="shared" si="91"/>
        <v>A622125</v>
      </c>
      <c r="AG960" s="283" t="str">
        <f>VLOOKUP(AF960,[2]AKT!$C$4:$E$324,3,FALSE)</f>
        <v>0150</v>
      </c>
    </row>
    <row r="961" spans="30:33">
      <c r="AD961" s="283" t="s">
        <v>748</v>
      </c>
      <c r="AE961" s="283" t="s">
        <v>747</v>
      </c>
      <c r="AF961" s="283" t="str">
        <f t="shared" si="91"/>
        <v>A622125</v>
      </c>
      <c r="AG961" s="283" t="str">
        <f>VLOOKUP(AF961,[2]AKT!$C$4:$E$324,3,FALSE)</f>
        <v>0150</v>
      </c>
    </row>
    <row r="962" spans="30:33">
      <c r="AD962" s="283" t="s">
        <v>746</v>
      </c>
      <c r="AE962" s="283" t="s">
        <v>745</v>
      </c>
      <c r="AF962" s="283" t="str">
        <f t="shared" si="91"/>
        <v>A622125</v>
      </c>
      <c r="AG962" s="283" t="str">
        <f>VLOOKUP(AF962,[2]AKT!$C$4:$E$324,3,FALSE)</f>
        <v>0150</v>
      </c>
    </row>
    <row r="963" spans="30:33">
      <c r="AD963" s="283" t="s">
        <v>744</v>
      </c>
      <c r="AE963" s="283" t="s">
        <v>743</v>
      </c>
      <c r="AF963" s="283" t="str">
        <f t="shared" si="91"/>
        <v>A622125</v>
      </c>
      <c r="AG963" s="283" t="str">
        <f>VLOOKUP(AF963,[2]AKT!$C$4:$E$324,3,FALSE)</f>
        <v>0150</v>
      </c>
    </row>
    <row r="964" spans="30:33">
      <c r="AD964" s="283" t="s">
        <v>742</v>
      </c>
      <c r="AE964" s="283" t="s">
        <v>741</v>
      </c>
      <c r="AF964" s="283" t="str">
        <f t="shared" si="91"/>
        <v>A622125</v>
      </c>
      <c r="AG964" s="283" t="str">
        <f>VLOOKUP(AF964,[2]AKT!$C$4:$E$324,3,FALSE)</f>
        <v>0150</v>
      </c>
    </row>
    <row r="965" spans="30:33">
      <c r="AD965" s="283" t="s">
        <v>740</v>
      </c>
      <c r="AE965" s="283" t="s">
        <v>739</v>
      </c>
      <c r="AF965" s="283" t="str">
        <f t="shared" si="91"/>
        <v>A622125</v>
      </c>
      <c r="AG965" s="283" t="str">
        <f>VLOOKUP(AF965,[2]AKT!$C$4:$E$324,3,FALSE)</f>
        <v>0150</v>
      </c>
    </row>
    <row r="966" spans="30:33">
      <c r="AD966" s="283" t="s">
        <v>738</v>
      </c>
      <c r="AE966" s="283" t="s">
        <v>737</v>
      </c>
      <c r="AF966" s="283" t="str">
        <f t="shared" si="91"/>
        <v>A622125</v>
      </c>
      <c r="AG966" s="283" t="str">
        <f>VLOOKUP(AF966,[2]AKT!$C$4:$E$324,3,FALSE)</f>
        <v>0150</v>
      </c>
    </row>
    <row r="967" spans="30:33">
      <c r="AD967" s="283" t="s">
        <v>736</v>
      </c>
      <c r="AE967" s="283" t="s">
        <v>735</v>
      </c>
      <c r="AF967" s="283" t="str">
        <f t="shared" si="91"/>
        <v>A622125</v>
      </c>
      <c r="AG967" s="283" t="str">
        <f>VLOOKUP(AF967,[2]AKT!$C$4:$E$324,3,FALSE)</f>
        <v>0150</v>
      </c>
    </row>
    <row r="968" spans="30:33">
      <c r="AD968" s="283" t="s">
        <v>734</v>
      </c>
      <c r="AE968" s="283" t="s">
        <v>733</v>
      </c>
      <c r="AF968" s="283" t="str">
        <f t="shared" si="91"/>
        <v>A622125</v>
      </c>
      <c r="AG968" s="283" t="str">
        <f>VLOOKUP(AF968,[2]AKT!$C$4:$E$324,3,FALSE)</f>
        <v>0150</v>
      </c>
    </row>
    <row r="969" spans="30:33">
      <c r="AD969" s="283" t="s">
        <v>732</v>
      </c>
      <c r="AE969" s="283" t="s">
        <v>731</v>
      </c>
      <c r="AF969" s="283" t="str">
        <f t="shared" si="91"/>
        <v>A622125</v>
      </c>
      <c r="AG969" s="283" t="str">
        <f>VLOOKUP(AF969,[2]AKT!$C$4:$E$324,3,FALSE)</f>
        <v>0150</v>
      </c>
    </row>
    <row r="970" spans="30:33">
      <c r="AD970" s="283" t="s">
        <v>730</v>
      </c>
      <c r="AE970" s="283" t="s">
        <v>729</v>
      </c>
      <c r="AF970" s="283" t="str">
        <f t="shared" si="91"/>
        <v>A622125</v>
      </c>
      <c r="AG970" s="283" t="str">
        <f>VLOOKUP(AF970,[2]AKT!$C$4:$E$324,3,FALSE)</f>
        <v>0150</v>
      </c>
    </row>
    <row r="971" spans="30:33">
      <c r="AD971" s="283" t="s">
        <v>728</v>
      </c>
      <c r="AE971" s="283" t="s">
        <v>727</v>
      </c>
      <c r="AF971" s="283" t="str">
        <f t="shared" si="91"/>
        <v>A622125</v>
      </c>
      <c r="AG971" s="283" t="str">
        <f>VLOOKUP(AF971,[2]AKT!$C$4:$E$324,3,FALSE)</f>
        <v>0150</v>
      </c>
    </row>
    <row r="972" spans="30:33">
      <c r="AD972" s="283" t="s">
        <v>726</v>
      </c>
      <c r="AE972" s="283" t="s">
        <v>725</v>
      </c>
      <c r="AF972" s="283" t="str">
        <f t="shared" si="91"/>
        <v>A622125</v>
      </c>
      <c r="AG972" s="283" t="str">
        <f>VLOOKUP(AF972,[2]AKT!$C$4:$E$324,3,FALSE)</f>
        <v>0150</v>
      </c>
    </row>
    <row r="973" spans="30:33">
      <c r="AD973" s="283" t="s">
        <v>724</v>
      </c>
      <c r="AE973" s="283" t="s">
        <v>723</v>
      </c>
      <c r="AF973" s="283" t="str">
        <f t="shared" si="91"/>
        <v>A622125</v>
      </c>
      <c r="AG973" s="283" t="str">
        <f>VLOOKUP(AF973,[2]AKT!$C$4:$E$324,3,FALSE)</f>
        <v>0150</v>
      </c>
    </row>
    <row r="974" spans="30:33">
      <c r="AD974" s="283" t="s">
        <v>722</v>
      </c>
      <c r="AE974" s="283" t="s">
        <v>721</v>
      </c>
      <c r="AF974" s="283" t="str">
        <f t="shared" si="91"/>
        <v>A622125</v>
      </c>
      <c r="AG974" s="283" t="str">
        <f>VLOOKUP(AF974,[2]AKT!$C$4:$E$324,3,FALSE)</f>
        <v>0150</v>
      </c>
    </row>
    <row r="975" spans="30:33">
      <c r="AD975" s="283" t="s">
        <v>720</v>
      </c>
      <c r="AE975" s="283" t="s">
        <v>719</v>
      </c>
      <c r="AF975" s="283" t="str">
        <f t="shared" si="91"/>
        <v>A622125</v>
      </c>
      <c r="AG975" s="283" t="str">
        <f>VLOOKUP(AF975,[2]AKT!$C$4:$E$324,3,FALSE)</f>
        <v>0150</v>
      </c>
    </row>
    <row r="976" spans="30:33">
      <c r="AD976" s="283" t="s">
        <v>718</v>
      </c>
      <c r="AE976" s="283" t="s">
        <v>717</v>
      </c>
      <c r="AF976" s="283" t="str">
        <f t="shared" si="91"/>
        <v>A622125</v>
      </c>
      <c r="AG976" s="283" t="str">
        <f>VLOOKUP(AF976,[2]AKT!$C$4:$E$324,3,FALSE)</f>
        <v>0150</v>
      </c>
    </row>
    <row r="977" spans="30:33">
      <c r="AD977" s="283" t="s">
        <v>716</v>
      </c>
      <c r="AE977" s="283" t="s">
        <v>715</v>
      </c>
      <c r="AF977" s="283" t="str">
        <f t="shared" si="91"/>
        <v>A622125</v>
      </c>
      <c r="AG977" s="283" t="str">
        <f>VLOOKUP(AF977,[2]AKT!$C$4:$E$324,3,FALSE)</f>
        <v>0150</v>
      </c>
    </row>
    <row r="978" spans="30:33">
      <c r="AD978" s="283" t="s">
        <v>714</v>
      </c>
      <c r="AE978" s="283" t="s">
        <v>713</v>
      </c>
      <c r="AF978" s="283" t="str">
        <f t="shared" si="91"/>
        <v>A622125</v>
      </c>
      <c r="AG978" s="283" t="str">
        <f>VLOOKUP(AF978,[2]AKT!$C$4:$E$324,3,FALSE)</f>
        <v>0150</v>
      </c>
    </row>
    <row r="979" spans="30:33">
      <c r="AD979" s="283" t="s">
        <v>712</v>
      </c>
      <c r="AE979" s="283" t="s">
        <v>711</v>
      </c>
      <c r="AF979" s="283" t="str">
        <f t="shared" si="91"/>
        <v>A622125</v>
      </c>
      <c r="AG979" s="283" t="str">
        <f>VLOOKUP(AF979,[2]AKT!$C$4:$E$324,3,FALSE)</f>
        <v>0150</v>
      </c>
    </row>
    <row r="980" spans="30:33">
      <c r="AD980" s="283" t="s">
        <v>710</v>
      </c>
      <c r="AE980" s="283" t="s">
        <v>709</v>
      </c>
      <c r="AF980" s="283" t="str">
        <f t="shared" si="91"/>
        <v>A622125</v>
      </c>
      <c r="AG980" s="283" t="str">
        <f>VLOOKUP(AF980,[2]AKT!$C$4:$E$324,3,FALSE)</f>
        <v>0150</v>
      </c>
    </row>
    <row r="981" spans="30:33">
      <c r="AD981" s="283" t="s">
        <v>708</v>
      </c>
      <c r="AE981" s="283" t="s">
        <v>707</v>
      </c>
      <c r="AF981" s="283" t="str">
        <f t="shared" si="91"/>
        <v>A622125</v>
      </c>
      <c r="AG981" s="283" t="str">
        <f>VLOOKUP(AF981,[2]AKT!$C$4:$E$324,3,FALSE)</f>
        <v>0150</v>
      </c>
    </row>
    <row r="982" spans="30:33">
      <c r="AD982" s="283" t="s">
        <v>706</v>
      </c>
      <c r="AE982" s="283" t="s">
        <v>705</v>
      </c>
      <c r="AF982" s="283" t="str">
        <f t="shared" si="91"/>
        <v>A622125</v>
      </c>
      <c r="AG982" s="283" t="str">
        <f>VLOOKUP(AF982,[2]AKT!$C$4:$E$324,3,FALSE)</f>
        <v>0150</v>
      </c>
    </row>
    <row r="983" spans="30:33">
      <c r="AD983" s="283" t="s">
        <v>704</v>
      </c>
      <c r="AE983" s="283" t="s">
        <v>703</v>
      </c>
      <c r="AF983" s="283" t="str">
        <f t="shared" si="91"/>
        <v>A622125</v>
      </c>
      <c r="AG983" s="283" t="str">
        <f>VLOOKUP(AF983,[2]AKT!$C$4:$E$324,3,FALSE)</f>
        <v>0150</v>
      </c>
    </row>
    <row r="984" spans="30:33">
      <c r="AD984" s="283" t="s">
        <v>702</v>
      </c>
      <c r="AE984" s="283" t="s">
        <v>701</v>
      </c>
      <c r="AF984" s="283" t="str">
        <f t="shared" si="91"/>
        <v>A622125</v>
      </c>
      <c r="AG984" s="283" t="str">
        <f>VLOOKUP(AF984,[2]AKT!$C$4:$E$324,3,FALSE)</f>
        <v>0150</v>
      </c>
    </row>
    <row r="985" spans="30:33">
      <c r="AD985" s="283" t="s">
        <v>700</v>
      </c>
      <c r="AE985" s="283" t="s">
        <v>699</v>
      </c>
      <c r="AF985" s="283" t="str">
        <f t="shared" si="91"/>
        <v>A622125</v>
      </c>
      <c r="AG985" s="283" t="str">
        <f>VLOOKUP(AF985,[2]AKT!$C$4:$E$324,3,FALSE)</f>
        <v>0150</v>
      </c>
    </row>
    <row r="986" spans="30:33">
      <c r="AD986" s="283" t="s">
        <v>698</v>
      </c>
      <c r="AE986" s="283" t="s">
        <v>697</v>
      </c>
      <c r="AF986" s="283" t="str">
        <f t="shared" si="91"/>
        <v>A622125</v>
      </c>
      <c r="AG986" s="283" t="str">
        <f>VLOOKUP(AF986,[2]AKT!$C$4:$E$324,3,FALSE)</f>
        <v>0150</v>
      </c>
    </row>
    <row r="987" spans="30:33">
      <c r="AD987" s="283" t="s">
        <v>696</v>
      </c>
      <c r="AE987" s="283" t="s">
        <v>695</v>
      </c>
      <c r="AF987" s="283" t="str">
        <f t="shared" si="91"/>
        <v>A622125</v>
      </c>
      <c r="AG987" s="283" t="str">
        <f>VLOOKUP(AF987,[2]AKT!$C$4:$E$324,3,FALSE)</f>
        <v>0150</v>
      </c>
    </row>
    <row r="988" spans="30:33">
      <c r="AD988" s="283" t="s">
        <v>694</v>
      </c>
      <c r="AE988" s="283" t="s">
        <v>693</v>
      </c>
      <c r="AF988" s="283" t="str">
        <f t="shared" si="91"/>
        <v>A622125</v>
      </c>
      <c r="AG988" s="283" t="str">
        <f>VLOOKUP(AF988,[2]AKT!$C$4:$E$324,3,FALSE)</f>
        <v>0150</v>
      </c>
    </row>
    <row r="989" spans="30:33">
      <c r="AD989" s="283" t="s">
        <v>692</v>
      </c>
      <c r="AE989" s="283" t="s">
        <v>691</v>
      </c>
      <c r="AF989" s="283" t="str">
        <f t="shared" si="91"/>
        <v>A622125</v>
      </c>
      <c r="AG989" s="283" t="str">
        <f>VLOOKUP(AF989,[2]AKT!$C$4:$E$324,3,FALSE)</f>
        <v>0150</v>
      </c>
    </row>
    <row r="990" spans="30:33">
      <c r="AD990" s="283" t="s">
        <v>690</v>
      </c>
      <c r="AE990" s="283" t="s">
        <v>689</v>
      </c>
      <c r="AF990" s="283" t="str">
        <f t="shared" si="91"/>
        <v>A622125</v>
      </c>
      <c r="AG990" s="283" t="str">
        <f>VLOOKUP(AF990,[2]AKT!$C$4:$E$324,3,FALSE)</f>
        <v>0150</v>
      </c>
    </row>
    <row r="991" spans="30:33">
      <c r="AD991" s="283" t="s">
        <v>688</v>
      </c>
      <c r="AE991" s="283" t="s">
        <v>687</v>
      </c>
      <c r="AF991" s="283" t="str">
        <f t="shared" si="91"/>
        <v>A622125</v>
      </c>
      <c r="AG991" s="283" t="str">
        <f>VLOOKUP(AF991,[2]AKT!$C$4:$E$324,3,FALSE)</f>
        <v>0150</v>
      </c>
    </row>
    <row r="992" spans="30:33">
      <c r="AD992" s="283" t="s">
        <v>686</v>
      </c>
      <c r="AE992" s="283" t="s">
        <v>685</v>
      </c>
      <c r="AF992" s="283" t="str">
        <f t="shared" si="91"/>
        <v>A622125</v>
      </c>
      <c r="AG992" s="283" t="str">
        <f>VLOOKUP(AF992,[2]AKT!$C$4:$E$324,3,FALSE)</f>
        <v>0150</v>
      </c>
    </row>
    <row r="993" spans="30:33">
      <c r="AD993" s="283" t="s">
        <v>684</v>
      </c>
      <c r="AE993" s="283" t="s">
        <v>683</v>
      </c>
      <c r="AF993" s="283" t="str">
        <f t="shared" si="91"/>
        <v>A622125</v>
      </c>
      <c r="AG993" s="283" t="str">
        <f>VLOOKUP(AF993,[2]AKT!$C$4:$E$324,3,FALSE)</f>
        <v>0150</v>
      </c>
    </row>
    <row r="994" spans="30:33">
      <c r="AD994" s="283" t="s">
        <v>682</v>
      </c>
      <c r="AE994" s="283" t="s">
        <v>599</v>
      </c>
      <c r="AF994" s="283" t="str">
        <f t="shared" si="91"/>
        <v>A622125</v>
      </c>
      <c r="AG994" s="283" t="str">
        <f>VLOOKUP(AF994,[2]AKT!$C$4:$E$324,3,FALSE)</f>
        <v>0150</v>
      </c>
    </row>
    <row r="995" spans="30:33">
      <c r="AD995" s="283" t="s">
        <v>681</v>
      </c>
      <c r="AE995" s="283" t="s">
        <v>680</v>
      </c>
      <c r="AF995" s="283" t="str">
        <f t="shared" si="91"/>
        <v>A622125</v>
      </c>
      <c r="AG995" s="283" t="str">
        <f>VLOOKUP(AF995,[2]AKT!$C$4:$E$324,3,FALSE)</f>
        <v>0150</v>
      </c>
    </row>
    <row r="996" spans="30:33">
      <c r="AD996" s="283" t="s">
        <v>679</v>
      </c>
      <c r="AE996" s="283" t="s">
        <v>678</v>
      </c>
      <c r="AF996" s="283" t="str">
        <f t="shared" si="91"/>
        <v>A622125</v>
      </c>
      <c r="AG996" s="283" t="str">
        <f>VLOOKUP(AF996,[2]AKT!$C$4:$E$324,3,FALSE)</f>
        <v>0150</v>
      </c>
    </row>
    <row r="997" spans="30:33">
      <c r="AD997" s="283" t="s">
        <v>677</v>
      </c>
      <c r="AE997" s="283" t="s">
        <v>676</v>
      </c>
      <c r="AF997" s="283" t="str">
        <f t="shared" si="91"/>
        <v>A622125</v>
      </c>
      <c r="AG997" s="283" t="str">
        <f>VLOOKUP(AF997,[2]AKT!$C$4:$E$324,3,FALSE)</f>
        <v>0150</v>
      </c>
    </row>
    <row r="998" spans="30:33">
      <c r="AD998" s="283" t="s">
        <v>675</v>
      </c>
      <c r="AE998" s="283" t="s">
        <v>674</v>
      </c>
      <c r="AF998" s="283" t="str">
        <f t="shared" si="91"/>
        <v>A622125</v>
      </c>
      <c r="AG998" s="283" t="str">
        <f>VLOOKUP(AF998,[2]AKT!$C$4:$E$324,3,FALSE)</f>
        <v>0150</v>
      </c>
    </row>
    <row r="999" spans="30:33">
      <c r="AD999" s="283" t="s">
        <v>673</v>
      </c>
      <c r="AE999" s="283" t="s">
        <v>672</v>
      </c>
      <c r="AF999" s="283" t="str">
        <f t="shared" si="91"/>
        <v>A622125</v>
      </c>
      <c r="AG999" s="283" t="str">
        <f>VLOOKUP(AF999,[2]AKT!$C$4:$E$324,3,FALSE)</f>
        <v>0150</v>
      </c>
    </row>
    <row r="1000" spans="30:33">
      <c r="AD1000" s="283" t="s">
        <v>671</v>
      </c>
      <c r="AE1000" s="283" t="s">
        <v>670</v>
      </c>
      <c r="AF1000" s="283" t="str">
        <f t="shared" si="91"/>
        <v>A622125</v>
      </c>
      <c r="AG1000" s="283" t="str">
        <f>VLOOKUP(AF1000,[2]AKT!$C$4:$E$324,3,FALSE)</f>
        <v>0150</v>
      </c>
    </row>
    <row r="1001" spans="30:33">
      <c r="AD1001" s="283" t="s">
        <v>669</v>
      </c>
      <c r="AE1001" s="283" t="s">
        <v>668</v>
      </c>
      <c r="AF1001" s="283" t="str">
        <f t="shared" si="91"/>
        <v>A622125</v>
      </c>
      <c r="AG1001" s="283" t="str">
        <f>VLOOKUP(AF1001,[2]AKT!$C$4:$E$324,3,FALSE)</f>
        <v>0150</v>
      </c>
    </row>
    <row r="1002" spans="30:33">
      <c r="AD1002" s="283" t="s">
        <v>667</v>
      </c>
      <c r="AE1002" s="283" t="s">
        <v>666</v>
      </c>
      <c r="AF1002" s="283" t="str">
        <f t="shared" si="91"/>
        <v>A622125</v>
      </c>
      <c r="AG1002" s="283" t="str">
        <f>VLOOKUP(AF1002,[2]AKT!$C$4:$E$324,3,FALSE)</f>
        <v>0150</v>
      </c>
    </row>
    <row r="1003" spans="30:33">
      <c r="AD1003" s="283" t="s">
        <v>665</v>
      </c>
      <c r="AE1003" s="283" t="s">
        <v>664</v>
      </c>
      <c r="AF1003" s="283" t="str">
        <f t="shared" si="91"/>
        <v>A622125</v>
      </c>
      <c r="AG1003" s="283" t="str">
        <f>VLOOKUP(AF1003,[2]AKT!$C$4:$E$324,3,FALSE)</f>
        <v>0150</v>
      </c>
    </row>
    <row r="1004" spans="30:33">
      <c r="AD1004" s="283" t="s">
        <v>663</v>
      </c>
      <c r="AE1004" s="283" t="s">
        <v>662</v>
      </c>
      <c r="AF1004" s="283" t="str">
        <f t="shared" si="91"/>
        <v>A622125</v>
      </c>
      <c r="AG1004" s="283" t="str">
        <f>VLOOKUP(AF1004,[2]AKT!$C$4:$E$324,3,FALSE)</f>
        <v>0150</v>
      </c>
    </row>
    <row r="1005" spans="30:33">
      <c r="AD1005" s="283" t="s">
        <v>661</v>
      </c>
      <c r="AE1005" s="283" t="s">
        <v>660</v>
      </c>
      <c r="AF1005" s="283" t="str">
        <f t="shared" si="91"/>
        <v>A622125</v>
      </c>
      <c r="AG1005" s="283" t="str">
        <f>VLOOKUP(AF1005,[2]AKT!$C$4:$E$324,3,FALSE)</f>
        <v>0150</v>
      </c>
    </row>
    <row r="1006" spans="30:33">
      <c r="AD1006" s="283" t="s">
        <v>659</v>
      </c>
      <c r="AE1006" s="283" t="s">
        <v>658</v>
      </c>
      <c r="AF1006" s="283" t="str">
        <f t="shared" si="91"/>
        <v>A622125</v>
      </c>
      <c r="AG1006" s="283" t="str">
        <f>VLOOKUP(AF1006,[2]AKT!$C$4:$E$324,3,FALSE)</f>
        <v>0150</v>
      </c>
    </row>
    <row r="1007" spans="30:33">
      <c r="AD1007" s="283" t="s">
        <v>657</v>
      </c>
      <c r="AE1007" s="283" t="s">
        <v>656</v>
      </c>
      <c r="AF1007" s="283" t="str">
        <f t="shared" si="91"/>
        <v>A622125</v>
      </c>
      <c r="AG1007" s="283" t="str">
        <f>VLOOKUP(AF1007,[2]AKT!$C$4:$E$324,3,FALSE)</f>
        <v>0150</v>
      </c>
    </row>
    <row r="1008" spans="30:33">
      <c r="AD1008" s="283" t="s">
        <v>655</v>
      </c>
      <c r="AE1008" s="283" t="s">
        <v>654</v>
      </c>
      <c r="AF1008" s="283" t="str">
        <f t="shared" si="91"/>
        <v>A622125</v>
      </c>
      <c r="AG1008" s="283" t="str">
        <f>VLOOKUP(AF1008,[2]AKT!$C$4:$E$324,3,FALSE)</f>
        <v>0150</v>
      </c>
    </row>
    <row r="1009" spans="30:33">
      <c r="AD1009" s="283" t="s">
        <v>653</v>
      </c>
      <c r="AE1009" s="283" t="s">
        <v>652</v>
      </c>
      <c r="AF1009" s="283" t="str">
        <f t="shared" si="91"/>
        <v>A622125</v>
      </c>
      <c r="AG1009" s="283" t="str">
        <f>VLOOKUP(AF1009,[2]AKT!$C$4:$E$324,3,FALSE)</f>
        <v>0150</v>
      </c>
    </row>
    <row r="1010" spans="30:33">
      <c r="AD1010" s="283" t="s">
        <v>651</v>
      </c>
      <c r="AE1010" s="283" t="s">
        <v>650</v>
      </c>
      <c r="AF1010" s="283" t="str">
        <f t="shared" si="91"/>
        <v>A622125</v>
      </c>
      <c r="AG1010" s="283" t="str">
        <f>VLOOKUP(AF1010,[2]AKT!$C$4:$E$324,3,FALSE)</f>
        <v>0150</v>
      </c>
    </row>
    <row r="1011" spans="30:33">
      <c r="AD1011" s="283" t="s">
        <v>649</v>
      </c>
      <c r="AE1011" s="283" t="s">
        <v>648</v>
      </c>
      <c r="AF1011" s="283" t="str">
        <f t="shared" si="91"/>
        <v>A622125</v>
      </c>
      <c r="AG1011" s="283" t="str">
        <f>VLOOKUP(AF1011,[2]AKT!$C$4:$E$324,3,FALSE)</f>
        <v>0150</v>
      </c>
    </row>
    <row r="1012" spans="30:33">
      <c r="AD1012" s="283" t="s">
        <v>647</v>
      </c>
      <c r="AE1012" s="283" t="s">
        <v>646</v>
      </c>
      <c r="AF1012" s="283" t="str">
        <f t="shared" si="91"/>
        <v>A622125</v>
      </c>
      <c r="AG1012" s="283" t="str">
        <f>VLOOKUP(AF1012,[2]AKT!$C$4:$E$324,3,FALSE)</f>
        <v>0150</v>
      </c>
    </row>
    <row r="1013" spans="30:33">
      <c r="AD1013" s="283" t="s">
        <v>645</v>
      </c>
      <c r="AE1013" s="283" t="s">
        <v>644</v>
      </c>
      <c r="AF1013" s="283" t="str">
        <f t="shared" si="91"/>
        <v>A622125</v>
      </c>
      <c r="AG1013" s="283" t="str">
        <f>VLOOKUP(AF1013,[2]AKT!$C$4:$E$324,3,FALSE)</f>
        <v>0150</v>
      </c>
    </row>
    <row r="1014" spans="30:33">
      <c r="AD1014" s="283" t="s">
        <v>643</v>
      </c>
      <c r="AE1014" s="283" t="s">
        <v>642</v>
      </c>
      <c r="AF1014" s="283" t="str">
        <f t="shared" si="91"/>
        <v>A622125</v>
      </c>
      <c r="AG1014" s="283" t="str">
        <f>VLOOKUP(AF1014,[2]AKT!$C$4:$E$324,3,FALSE)</f>
        <v>0150</v>
      </c>
    </row>
    <row r="1015" spans="30:33">
      <c r="AD1015" s="283" t="s">
        <v>641</v>
      </c>
      <c r="AE1015" s="283" t="s">
        <v>640</v>
      </c>
      <c r="AF1015" s="283" t="str">
        <f t="shared" si="91"/>
        <v>A622125</v>
      </c>
      <c r="AG1015" s="283" t="str">
        <f>VLOOKUP(AF1015,[2]AKT!$C$4:$E$324,3,FALSE)</f>
        <v>0150</v>
      </c>
    </row>
    <row r="1016" spans="30:33">
      <c r="AD1016" s="283" t="s">
        <v>639</v>
      </c>
      <c r="AE1016" s="283" t="s">
        <v>638</v>
      </c>
      <c r="AF1016" s="283" t="str">
        <f t="shared" si="91"/>
        <v>A622125</v>
      </c>
      <c r="AG1016" s="283" t="str">
        <f>VLOOKUP(AF1016,[2]AKT!$C$4:$E$324,3,FALSE)</f>
        <v>0150</v>
      </c>
    </row>
    <row r="1017" spans="30:33">
      <c r="AD1017" s="283" t="s">
        <v>637</v>
      </c>
      <c r="AE1017" s="283" t="s">
        <v>636</v>
      </c>
      <c r="AF1017" s="283" t="str">
        <f t="shared" si="91"/>
        <v>A622125</v>
      </c>
      <c r="AG1017" s="283" t="str">
        <f>VLOOKUP(AF1017,[2]AKT!$C$4:$E$324,3,FALSE)</f>
        <v>0150</v>
      </c>
    </row>
    <row r="1018" spans="30:33">
      <c r="AD1018" s="283" t="s">
        <v>635</v>
      </c>
      <c r="AE1018" s="283" t="s">
        <v>634</v>
      </c>
      <c r="AF1018" s="283" t="str">
        <f t="shared" si="91"/>
        <v>A622125</v>
      </c>
      <c r="AG1018" s="283" t="str">
        <f>VLOOKUP(AF1018,[2]AKT!$C$4:$E$324,3,FALSE)</f>
        <v>0150</v>
      </c>
    </row>
    <row r="1019" spans="30:33">
      <c r="AD1019" s="283" t="s">
        <v>633</v>
      </c>
      <c r="AE1019" s="283" t="s">
        <v>632</v>
      </c>
      <c r="AF1019" s="283" t="str">
        <f t="shared" ref="AF1019:AF1082" si="92">LEFT(AD1019,7)</f>
        <v>A622125</v>
      </c>
      <c r="AG1019" s="283" t="str">
        <f>VLOOKUP(AF1019,[2]AKT!$C$4:$E$324,3,FALSE)</f>
        <v>0150</v>
      </c>
    </row>
    <row r="1020" spans="30:33">
      <c r="AD1020" s="283" t="s">
        <v>631</v>
      </c>
      <c r="AE1020" s="283" t="s">
        <v>630</v>
      </c>
      <c r="AF1020" s="283" t="str">
        <f t="shared" si="92"/>
        <v>A622125</v>
      </c>
      <c r="AG1020" s="283" t="str">
        <f>VLOOKUP(AF1020,[2]AKT!$C$4:$E$324,3,FALSE)</f>
        <v>0150</v>
      </c>
    </row>
    <row r="1021" spans="30:33">
      <c r="AD1021" s="283" t="s">
        <v>629</v>
      </c>
      <c r="AE1021" s="283" t="s">
        <v>628</v>
      </c>
      <c r="AF1021" s="283" t="str">
        <f t="shared" si="92"/>
        <v>A622125</v>
      </c>
      <c r="AG1021" s="283" t="str">
        <f>VLOOKUP(AF1021,[2]AKT!$C$4:$E$324,3,FALSE)</f>
        <v>0150</v>
      </c>
    </row>
    <row r="1022" spans="30:33">
      <c r="AD1022" s="283" t="s">
        <v>627</v>
      </c>
      <c r="AE1022" s="283" t="s">
        <v>626</v>
      </c>
      <c r="AF1022" s="283" t="str">
        <f t="shared" si="92"/>
        <v>A622125</v>
      </c>
      <c r="AG1022" s="283" t="str">
        <f>VLOOKUP(AF1022,[2]AKT!$C$4:$E$324,3,FALSE)</f>
        <v>0150</v>
      </c>
    </row>
    <row r="1023" spans="30:33">
      <c r="AD1023" s="283" t="s">
        <v>625</v>
      </c>
      <c r="AE1023" s="283" t="s">
        <v>624</v>
      </c>
      <c r="AF1023" s="283" t="str">
        <f t="shared" si="92"/>
        <v>A622125</v>
      </c>
      <c r="AG1023" s="283" t="str">
        <f>VLOOKUP(AF1023,[2]AKT!$C$4:$E$324,3,FALSE)</f>
        <v>0150</v>
      </c>
    </row>
    <row r="1024" spans="30:33">
      <c r="AD1024" s="283" t="s">
        <v>623</v>
      </c>
      <c r="AE1024" s="283" t="s">
        <v>622</v>
      </c>
      <c r="AF1024" s="283" t="str">
        <f t="shared" si="92"/>
        <v>A622125</v>
      </c>
      <c r="AG1024" s="283" t="str">
        <f>VLOOKUP(AF1024,[2]AKT!$C$4:$E$324,3,FALSE)</f>
        <v>0150</v>
      </c>
    </row>
    <row r="1025" spans="30:33">
      <c r="AD1025" s="283" t="s">
        <v>621</v>
      </c>
      <c r="AE1025" s="283" t="s">
        <v>620</v>
      </c>
      <c r="AF1025" s="283" t="str">
        <f t="shared" si="92"/>
        <v>A622125</v>
      </c>
      <c r="AG1025" s="283" t="str">
        <f>VLOOKUP(AF1025,[2]AKT!$C$4:$E$324,3,FALSE)</f>
        <v>0150</v>
      </c>
    </row>
    <row r="1026" spans="30:33">
      <c r="AD1026" s="283" t="s">
        <v>619</v>
      </c>
      <c r="AE1026" s="283" t="s">
        <v>618</v>
      </c>
      <c r="AF1026" s="283" t="str">
        <f t="shared" si="92"/>
        <v>A622125</v>
      </c>
      <c r="AG1026" s="283" t="str">
        <f>VLOOKUP(AF1026,[2]AKT!$C$4:$E$324,3,FALSE)</f>
        <v>0150</v>
      </c>
    </row>
    <row r="1027" spans="30:33">
      <c r="AD1027" s="283" t="s">
        <v>617</v>
      </c>
      <c r="AE1027" s="283" t="s">
        <v>616</v>
      </c>
      <c r="AF1027" s="283" t="str">
        <f t="shared" si="92"/>
        <v>A622125</v>
      </c>
      <c r="AG1027" s="283" t="str">
        <f>VLOOKUP(AF1027,[2]AKT!$C$4:$E$324,3,FALSE)</f>
        <v>0150</v>
      </c>
    </row>
    <row r="1028" spans="30:33">
      <c r="AD1028" s="283" t="s">
        <v>615</v>
      </c>
      <c r="AE1028" s="283" t="s">
        <v>614</v>
      </c>
      <c r="AF1028" s="283" t="str">
        <f t="shared" si="92"/>
        <v>A622125</v>
      </c>
      <c r="AG1028" s="283" t="str">
        <f>VLOOKUP(AF1028,[2]AKT!$C$4:$E$324,3,FALSE)</f>
        <v>0150</v>
      </c>
    </row>
    <row r="1029" spans="30:33">
      <c r="AD1029" s="283" t="s">
        <v>613</v>
      </c>
      <c r="AE1029" s="283" t="s">
        <v>612</v>
      </c>
      <c r="AF1029" s="283" t="str">
        <f t="shared" si="92"/>
        <v>A622125</v>
      </c>
      <c r="AG1029" s="283" t="str">
        <f>VLOOKUP(AF1029,[2]AKT!$C$4:$E$324,3,FALSE)</f>
        <v>0150</v>
      </c>
    </row>
    <row r="1030" spans="30:33">
      <c r="AD1030" s="283" t="s">
        <v>611</v>
      </c>
      <c r="AE1030" s="283" t="s">
        <v>610</v>
      </c>
      <c r="AF1030" s="283" t="str">
        <f t="shared" si="92"/>
        <v>A622125</v>
      </c>
      <c r="AG1030" s="283" t="str">
        <f>VLOOKUP(AF1030,[2]AKT!$C$4:$E$324,3,FALSE)</f>
        <v>0150</v>
      </c>
    </row>
    <row r="1031" spans="30:33">
      <c r="AD1031" s="283" t="s">
        <v>609</v>
      </c>
      <c r="AE1031" s="283" t="s">
        <v>608</v>
      </c>
      <c r="AF1031" s="283" t="str">
        <f t="shared" si="92"/>
        <v>A622125</v>
      </c>
      <c r="AG1031" s="283" t="str">
        <f>VLOOKUP(AF1031,[2]AKT!$C$4:$E$324,3,FALSE)</f>
        <v>0150</v>
      </c>
    </row>
    <row r="1032" spans="30:33">
      <c r="AD1032" s="283" t="s">
        <v>607</v>
      </c>
      <c r="AE1032" s="283" t="s">
        <v>606</v>
      </c>
      <c r="AF1032" s="283" t="str">
        <f t="shared" si="92"/>
        <v>A622125</v>
      </c>
      <c r="AG1032" s="283" t="str">
        <f>VLOOKUP(AF1032,[2]AKT!$C$4:$E$324,3,FALSE)</f>
        <v>0150</v>
      </c>
    </row>
    <row r="1033" spans="30:33">
      <c r="AD1033" s="283" t="s">
        <v>605</v>
      </c>
      <c r="AE1033" s="283" t="s">
        <v>591</v>
      </c>
      <c r="AF1033" s="283" t="str">
        <f t="shared" si="92"/>
        <v>A622125</v>
      </c>
      <c r="AG1033" s="283" t="str">
        <f>VLOOKUP(AF1033,[2]AKT!$C$4:$E$324,3,FALSE)</f>
        <v>0150</v>
      </c>
    </row>
    <row r="1034" spans="30:33">
      <c r="AD1034" s="283" t="s">
        <v>604</v>
      </c>
      <c r="AE1034" s="283" t="s">
        <v>603</v>
      </c>
      <c r="AF1034" s="283" t="str">
        <f t="shared" si="92"/>
        <v>A622125</v>
      </c>
      <c r="AG1034" s="283" t="str">
        <f>VLOOKUP(AF1034,[2]AKT!$C$4:$E$324,3,FALSE)</f>
        <v>0150</v>
      </c>
    </row>
    <row r="1035" spans="30:33">
      <c r="AD1035" s="283" t="s">
        <v>602</v>
      </c>
      <c r="AE1035" s="283" t="s">
        <v>601</v>
      </c>
      <c r="AF1035" s="283" t="str">
        <f t="shared" si="92"/>
        <v>A622125</v>
      </c>
      <c r="AG1035" s="283" t="str">
        <f>VLOOKUP(AF1035,[2]AKT!$C$4:$E$324,3,FALSE)</f>
        <v>0150</v>
      </c>
    </row>
    <row r="1036" spans="30:33">
      <c r="AD1036" s="283" t="s">
        <v>600</v>
      </c>
      <c r="AE1036" s="283" t="s">
        <v>599</v>
      </c>
      <c r="AF1036" s="283" t="str">
        <f t="shared" si="92"/>
        <v>A622125</v>
      </c>
      <c r="AG1036" s="283" t="str">
        <f>VLOOKUP(AF1036,[2]AKT!$C$4:$E$324,3,FALSE)</f>
        <v>0150</v>
      </c>
    </row>
    <row r="1037" spans="30:33">
      <c r="AD1037" s="283" t="s">
        <v>598</v>
      </c>
      <c r="AE1037" s="283" t="s">
        <v>597</v>
      </c>
      <c r="AF1037" s="283" t="str">
        <f t="shared" si="92"/>
        <v>A622125</v>
      </c>
      <c r="AG1037" s="283" t="str">
        <f>VLOOKUP(AF1037,[2]AKT!$C$4:$E$324,3,FALSE)</f>
        <v>0150</v>
      </c>
    </row>
    <row r="1038" spans="30:33">
      <c r="AD1038" s="283" t="s">
        <v>596</v>
      </c>
      <c r="AE1038" s="283" t="s">
        <v>595</v>
      </c>
      <c r="AF1038" s="283" t="str">
        <f t="shared" si="92"/>
        <v>A622125</v>
      </c>
      <c r="AG1038" s="283" t="str">
        <f>VLOOKUP(AF1038,[2]AKT!$C$4:$E$324,3,FALSE)</f>
        <v>0150</v>
      </c>
    </row>
    <row r="1039" spans="30:33">
      <c r="AD1039" s="283" t="s">
        <v>594</v>
      </c>
      <c r="AE1039" s="283" t="s">
        <v>593</v>
      </c>
      <c r="AF1039" s="283" t="str">
        <f t="shared" si="92"/>
        <v>A622125</v>
      </c>
      <c r="AG1039" s="283" t="str">
        <f>VLOOKUP(AF1039,[2]AKT!$C$4:$E$324,3,FALSE)</f>
        <v>0150</v>
      </c>
    </row>
    <row r="1040" spans="30:33">
      <c r="AD1040" s="283" t="s">
        <v>592</v>
      </c>
      <c r="AE1040" s="283" t="s">
        <v>591</v>
      </c>
      <c r="AF1040" s="283" t="str">
        <f t="shared" si="92"/>
        <v>A622125</v>
      </c>
      <c r="AG1040" s="283" t="str">
        <f>VLOOKUP(AF1040,[2]AKT!$C$4:$E$324,3,FALSE)</f>
        <v>0150</v>
      </c>
    </row>
    <row r="1041" spans="30:33">
      <c r="AD1041" s="283" t="s">
        <v>590</v>
      </c>
      <c r="AE1041" s="283" t="s">
        <v>589</v>
      </c>
      <c r="AF1041" s="283" t="str">
        <f t="shared" si="92"/>
        <v>A622125</v>
      </c>
      <c r="AG1041" s="283" t="str">
        <f>VLOOKUP(AF1041,[2]AKT!$C$4:$E$324,3,FALSE)</f>
        <v>0150</v>
      </c>
    </row>
    <row r="1042" spans="30:33">
      <c r="AD1042" s="283" t="s">
        <v>588</v>
      </c>
      <c r="AE1042" s="283" t="s">
        <v>587</v>
      </c>
      <c r="AF1042" s="283" t="str">
        <f t="shared" si="92"/>
        <v>A622125</v>
      </c>
      <c r="AG1042" s="283" t="str">
        <f>VLOOKUP(AF1042,[2]AKT!$C$4:$E$324,3,FALSE)</f>
        <v>0150</v>
      </c>
    </row>
    <row r="1043" spans="30:33">
      <c r="AD1043" s="283" t="s">
        <v>586</v>
      </c>
      <c r="AE1043" s="283" t="s">
        <v>585</v>
      </c>
      <c r="AF1043" s="283" t="str">
        <f t="shared" si="92"/>
        <v>A622125</v>
      </c>
      <c r="AG1043" s="283" t="str">
        <f>VLOOKUP(AF1043,[2]AKT!$C$4:$E$324,3,FALSE)</f>
        <v>0150</v>
      </c>
    </row>
    <row r="1044" spans="30:33">
      <c r="AD1044" s="283" t="s">
        <v>584</v>
      </c>
      <c r="AE1044" s="283" t="s">
        <v>583</v>
      </c>
      <c r="AF1044" s="283" t="str">
        <f t="shared" si="92"/>
        <v>A622125</v>
      </c>
      <c r="AG1044" s="283" t="str">
        <f>VLOOKUP(AF1044,[2]AKT!$C$4:$E$324,3,FALSE)</f>
        <v>0150</v>
      </c>
    </row>
    <row r="1045" spans="30:33">
      <c r="AD1045" s="283" t="s">
        <v>582</v>
      </c>
      <c r="AE1045" s="283" t="s">
        <v>581</v>
      </c>
      <c r="AF1045" s="283" t="str">
        <f t="shared" si="92"/>
        <v>A622125</v>
      </c>
      <c r="AG1045" s="283" t="str">
        <f>VLOOKUP(AF1045,[2]AKT!$C$4:$E$324,3,FALSE)</f>
        <v>0150</v>
      </c>
    </row>
    <row r="1046" spans="30:33">
      <c r="AD1046" s="283" t="s">
        <v>580</v>
      </c>
      <c r="AE1046" s="283" t="s">
        <v>579</v>
      </c>
      <c r="AF1046" s="283" t="str">
        <f t="shared" si="92"/>
        <v>A622125</v>
      </c>
      <c r="AG1046" s="283" t="str">
        <f>VLOOKUP(AF1046,[2]AKT!$C$4:$E$324,3,FALSE)</f>
        <v>0150</v>
      </c>
    </row>
    <row r="1047" spans="30:33">
      <c r="AD1047" s="283" t="s">
        <v>578</v>
      </c>
      <c r="AE1047" s="283" t="s">
        <v>577</v>
      </c>
      <c r="AF1047" s="283" t="str">
        <f t="shared" si="92"/>
        <v>A622125</v>
      </c>
      <c r="AG1047" s="283" t="str">
        <f>VLOOKUP(AF1047,[2]AKT!$C$4:$E$324,3,FALSE)</f>
        <v>0150</v>
      </c>
    </row>
    <row r="1048" spans="30:33">
      <c r="AD1048" s="283" t="s">
        <v>576</v>
      </c>
      <c r="AE1048" s="283" t="s">
        <v>575</v>
      </c>
      <c r="AF1048" s="283" t="str">
        <f t="shared" si="92"/>
        <v>A622125</v>
      </c>
      <c r="AG1048" s="283" t="str">
        <f>VLOOKUP(AF1048,[2]AKT!$C$4:$E$324,3,FALSE)</f>
        <v>0150</v>
      </c>
    </row>
    <row r="1049" spans="30:33">
      <c r="AD1049" s="283" t="s">
        <v>574</v>
      </c>
      <c r="AE1049" s="283" t="s">
        <v>573</v>
      </c>
      <c r="AF1049" s="283" t="str">
        <f t="shared" si="92"/>
        <v>A622125</v>
      </c>
      <c r="AG1049" s="283" t="str">
        <f>VLOOKUP(AF1049,[2]AKT!$C$4:$E$324,3,FALSE)</f>
        <v>0150</v>
      </c>
    </row>
    <row r="1050" spans="30:33">
      <c r="AD1050" s="283" t="s">
        <v>572</v>
      </c>
      <c r="AE1050" s="283" t="s">
        <v>571</v>
      </c>
      <c r="AF1050" s="283" t="str">
        <f t="shared" si="92"/>
        <v>A622125</v>
      </c>
      <c r="AG1050" s="283" t="str">
        <f>VLOOKUP(AF1050,[2]AKT!$C$4:$E$324,3,FALSE)</f>
        <v>0150</v>
      </c>
    </row>
    <row r="1051" spans="30:33">
      <c r="AD1051" s="283" t="s">
        <v>570</v>
      </c>
      <c r="AE1051" s="283" t="s">
        <v>569</v>
      </c>
      <c r="AF1051" s="283" t="str">
        <f t="shared" si="92"/>
        <v>A622125</v>
      </c>
      <c r="AG1051" s="283" t="str">
        <f>VLOOKUP(AF1051,[2]AKT!$C$4:$E$324,3,FALSE)</f>
        <v>0150</v>
      </c>
    </row>
    <row r="1052" spans="30:33">
      <c r="AD1052" s="283" t="s">
        <v>568</v>
      </c>
      <c r="AE1052" s="283" t="s">
        <v>567</v>
      </c>
      <c r="AF1052" s="283" t="str">
        <f t="shared" si="92"/>
        <v>A622125</v>
      </c>
      <c r="AG1052" s="283" t="str">
        <f>VLOOKUP(AF1052,[2]AKT!$C$4:$E$324,3,FALSE)</f>
        <v>0150</v>
      </c>
    </row>
    <row r="1053" spans="30:33">
      <c r="AD1053" s="283" t="s">
        <v>566</v>
      </c>
      <c r="AE1053" s="283" t="s">
        <v>565</v>
      </c>
      <c r="AF1053" s="283" t="str">
        <f t="shared" si="92"/>
        <v>A622125</v>
      </c>
      <c r="AG1053" s="283" t="str">
        <f>VLOOKUP(AF1053,[2]AKT!$C$4:$E$324,3,FALSE)</f>
        <v>0150</v>
      </c>
    </row>
    <row r="1054" spans="30:33">
      <c r="AD1054" s="283" t="s">
        <v>564</v>
      </c>
      <c r="AE1054" s="283" t="s">
        <v>563</v>
      </c>
      <c r="AF1054" s="283" t="str">
        <f t="shared" si="92"/>
        <v>A622125</v>
      </c>
      <c r="AG1054" s="283" t="str">
        <f>VLOOKUP(AF1054,[2]AKT!$C$4:$E$324,3,FALSE)</f>
        <v>0150</v>
      </c>
    </row>
    <row r="1055" spans="30:33">
      <c r="AD1055" s="283" t="s">
        <v>562</v>
      </c>
      <c r="AE1055" s="283" t="s">
        <v>561</v>
      </c>
      <c r="AF1055" s="283" t="str">
        <f t="shared" si="92"/>
        <v>A622125</v>
      </c>
      <c r="AG1055" s="283" t="str">
        <f>VLOOKUP(AF1055,[2]AKT!$C$4:$E$324,3,FALSE)</f>
        <v>0150</v>
      </c>
    </row>
    <row r="1056" spans="30:33">
      <c r="AD1056" s="283" t="s">
        <v>560</v>
      </c>
      <c r="AE1056" s="283" t="s">
        <v>559</v>
      </c>
      <c r="AF1056" s="283" t="str">
        <f t="shared" si="92"/>
        <v>A622125</v>
      </c>
      <c r="AG1056" s="283" t="str">
        <f>VLOOKUP(AF1056,[2]AKT!$C$4:$E$324,3,FALSE)</f>
        <v>0150</v>
      </c>
    </row>
    <row r="1057" spans="30:33">
      <c r="AD1057" s="283" t="s">
        <v>558</v>
      </c>
      <c r="AE1057" s="283" t="s">
        <v>557</v>
      </c>
      <c r="AF1057" s="283" t="str">
        <f t="shared" si="92"/>
        <v>A622125</v>
      </c>
      <c r="AG1057" s="283" t="str">
        <f>VLOOKUP(AF1057,[2]AKT!$C$4:$E$324,3,FALSE)</f>
        <v>0150</v>
      </c>
    </row>
    <row r="1058" spans="30:33">
      <c r="AD1058" s="283" t="s">
        <v>556</v>
      </c>
      <c r="AE1058" s="283" t="s">
        <v>555</v>
      </c>
      <c r="AF1058" s="283" t="str">
        <f t="shared" si="92"/>
        <v>A622125</v>
      </c>
      <c r="AG1058" s="283" t="str">
        <f>VLOOKUP(AF1058,[2]AKT!$C$4:$E$324,3,FALSE)</f>
        <v>0150</v>
      </c>
    </row>
    <row r="1059" spans="30:33">
      <c r="AD1059" s="283" t="s">
        <v>554</v>
      </c>
      <c r="AE1059" s="283" t="s">
        <v>553</v>
      </c>
      <c r="AF1059" s="283" t="str">
        <f t="shared" si="92"/>
        <v>A622125</v>
      </c>
      <c r="AG1059" s="283" t="str">
        <f>VLOOKUP(AF1059,[2]AKT!$C$4:$E$324,3,FALSE)</f>
        <v>0150</v>
      </c>
    </row>
    <row r="1060" spans="30:33">
      <c r="AD1060" s="283" t="s">
        <v>552</v>
      </c>
      <c r="AE1060" s="283" t="s">
        <v>551</v>
      </c>
      <c r="AF1060" s="283" t="str">
        <f t="shared" si="92"/>
        <v>A622125</v>
      </c>
      <c r="AG1060" s="283" t="str">
        <f>VLOOKUP(AF1060,[2]AKT!$C$4:$E$324,3,FALSE)</f>
        <v>0150</v>
      </c>
    </row>
    <row r="1061" spans="30:33">
      <c r="AD1061" s="283" t="s">
        <v>550</v>
      </c>
      <c r="AE1061" s="283" t="s">
        <v>549</v>
      </c>
      <c r="AF1061" s="283" t="str">
        <f t="shared" si="92"/>
        <v>A622125</v>
      </c>
      <c r="AG1061" s="283" t="str">
        <f>VLOOKUP(AF1061,[2]AKT!$C$4:$E$324,3,FALSE)</f>
        <v>0150</v>
      </c>
    </row>
    <row r="1062" spans="30:33">
      <c r="AD1062" s="283" t="s">
        <v>548</v>
      </c>
      <c r="AE1062" s="283" t="s">
        <v>547</v>
      </c>
      <c r="AF1062" s="283" t="str">
        <f t="shared" si="92"/>
        <v>A622125</v>
      </c>
      <c r="AG1062" s="283" t="str">
        <f>VLOOKUP(AF1062,[2]AKT!$C$4:$E$324,3,FALSE)</f>
        <v>0150</v>
      </c>
    </row>
    <row r="1063" spans="30:33">
      <c r="AD1063" s="283" t="s">
        <v>546</v>
      </c>
      <c r="AE1063" s="283" t="s">
        <v>545</v>
      </c>
      <c r="AF1063" s="283" t="str">
        <f t="shared" si="92"/>
        <v>A622125</v>
      </c>
      <c r="AG1063" s="283" t="str">
        <f>VLOOKUP(AF1063,[2]AKT!$C$4:$E$324,3,FALSE)</f>
        <v>0150</v>
      </c>
    </row>
    <row r="1064" spans="30:33">
      <c r="AD1064" s="283" t="s">
        <v>544</v>
      </c>
      <c r="AE1064" s="283" t="s">
        <v>543</v>
      </c>
      <c r="AF1064" s="283" t="str">
        <f t="shared" si="92"/>
        <v>A622125</v>
      </c>
      <c r="AG1064" s="283" t="str">
        <f>VLOOKUP(AF1064,[2]AKT!$C$4:$E$324,3,FALSE)</f>
        <v>0150</v>
      </c>
    </row>
    <row r="1065" spans="30:33">
      <c r="AD1065" s="283" t="s">
        <v>542</v>
      </c>
      <c r="AE1065" s="283" t="s">
        <v>541</v>
      </c>
      <c r="AF1065" s="283" t="str">
        <f t="shared" si="92"/>
        <v>A622125</v>
      </c>
      <c r="AG1065" s="283" t="str">
        <f>VLOOKUP(AF1065,[2]AKT!$C$4:$E$324,3,FALSE)</f>
        <v>0150</v>
      </c>
    </row>
    <row r="1066" spans="30:33">
      <c r="AD1066" s="283" t="s">
        <v>540</v>
      </c>
      <c r="AE1066" s="283" t="s">
        <v>539</v>
      </c>
      <c r="AF1066" s="283" t="str">
        <f t="shared" si="92"/>
        <v>A622125</v>
      </c>
      <c r="AG1066" s="283" t="str">
        <f>VLOOKUP(AF1066,[2]AKT!$C$4:$E$324,3,FALSE)</f>
        <v>0150</v>
      </c>
    </row>
    <row r="1067" spans="30:33">
      <c r="AD1067" s="283" t="s">
        <v>538</v>
      </c>
      <c r="AE1067" s="283" t="s">
        <v>537</v>
      </c>
      <c r="AF1067" s="283" t="str">
        <f t="shared" si="92"/>
        <v>A622125</v>
      </c>
      <c r="AG1067" s="283" t="str">
        <f>VLOOKUP(AF1067,[2]AKT!$C$4:$E$324,3,FALSE)</f>
        <v>0150</v>
      </c>
    </row>
    <row r="1068" spans="30:33">
      <c r="AD1068" s="283" t="s">
        <v>536</v>
      </c>
      <c r="AE1068" s="283" t="s">
        <v>535</v>
      </c>
      <c r="AF1068" s="283" t="str">
        <f t="shared" si="92"/>
        <v>A622125</v>
      </c>
      <c r="AG1068" s="283" t="str">
        <f>VLOOKUP(AF1068,[2]AKT!$C$4:$E$324,3,FALSE)</f>
        <v>0150</v>
      </c>
    </row>
    <row r="1069" spans="30:33">
      <c r="AD1069" s="283" t="s">
        <v>534</v>
      </c>
      <c r="AE1069" s="283" t="s">
        <v>533</v>
      </c>
      <c r="AF1069" s="283" t="str">
        <f t="shared" si="92"/>
        <v>A622125</v>
      </c>
      <c r="AG1069" s="283" t="str">
        <f>VLOOKUP(AF1069,[2]AKT!$C$4:$E$324,3,FALSE)</f>
        <v>0150</v>
      </c>
    </row>
    <row r="1070" spans="30:33">
      <c r="AD1070" s="283" t="s">
        <v>532</v>
      </c>
      <c r="AE1070" s="283" t="s">
        <v>531</v>
      </c>
      <c r="AF1070" s="283" t="str">
        <f t="shared" si="92"/>
        <v>A622125</v>
      </c>
      <c r="AG1070" s="283" t="str">
        <f>VLOOKUP(AF1070,[2]AKT!$C$4:$E$324,3,FALSE)</f>
        <v>0150</v>
      </c>
    </row>
    <row r="1071" spans="30:33">
      <c r="AD1071" s="283" t="s">
        <v>530</v>
      </c>
      <c r="AE1071" s="283" t="s">
        <v>529</v>
      </c>
      <c r="AF1071" s="283" t="str">
        <f t="shared" si="92"/>
        <v>A622125</v>
      </c>
      <c r="AG1071" s="283" t="str">
        <f>VLOOKUP(AF1071,[2]AKT!$C$4:$E$324,3,FALSE)</f>
        <v>0150</v>
      </c>
    </row>
    <row r="1072" spans="30:33">
      <c r="AD1072" s="283" t="s">
        <v>528</v>
      </c>
      <c r="AE1072" s="283" t="s">
        <v>527</v>
      </c>
      <c r="AF1072" s="283" t="str">
        <f t="shared" si="92"/>
        <v>A622125</v>
      </c>
      <c r="AG1072" s="283" t="str">
        <f>VLOOKUP(AF1072,[2]AKT!$C$4:$E$324,3,FALSE)</f>
        <v>0150</v>
      </c>
    </row>
    <row r="1073" spans="30:33">
      <c r="AD1073" s="283" t="s">
        <v>526</v>
      </c>
      <c r="AE1073" s="283" t="s">
        <v>525</v>
      </c>
      <c r="AF1073" s="283" t="str">
        <f t="shared" si="92"/>
        <v>A622125</v>
      </c>
      <c r="AG1073" s="283" t="str">
        <f>VLOOKUP(AF1073,[2]AKT!$C$4:$E$324,3,FALSE)</f>
        <v>0150</v>
      </c>
    </row>
    <row r="1074" spans="30:33">
      <c r="AD1074" s="283" t="s">
        <v>524</v>
      </c>
      <c r="AE1074" s="283" t="s">
        <v>523</v>
      </c>
      <c r="AF1074" s="283" t="str">
        <f t="shared" si="92"/>
        <v>A622125</v>
      </c>
      <c r="AG1074" s="283" t="str">
        <f>VLOOKUP(AF1074,[2]AKT!$C$4:$E$324,3,FALSE)</f>
        <v>0150</v>
      </c>
    </row>
    <row r="1075" spans="30:33">
      <c r="AD1075" s="283" t="s">
        <v>522</v>
      </c>
      <c r="AE1075" s="283" t="s">
        <v>521</v>
      </c>
      <c r="AF1075" s="283" t="str">
        <f t="shared" si="92"/>
        <v>A622125</v>
      </c>
      <c r="AG1075" s="283" t="str">
        <f>VLOOKUP(AF1075,[2]AKT!$C$4:$E$324,3,FALSE)</f>
        <v>0150</v>
      </c>
    </row>
    <row r="1076" spans="30:33">
      <c r="AD1076" s="283" t="s">
        <v>520</v>
      </c>
      <c r="AE1076" s="283" t="s">
        <v>519</v>
      </c>
      <c r="AF1076" s="283" t="str">
        <f t="shared" si="92"/>
        <v>A622125</v>
      </c>
      <c r="AG1076" s="283" t="str">
        <f>VLOOKUP(AF1076,[2]AKT!$C$4:$E$324,3,FALSE)</f>
        <v>0150</v>
      </c>
    </row>
    <row r="1077" spans="30:33">
      <c r="AD1077" s="283" t="s">
        <v>518</v>
      </c>
      <c r="AE1077" s="283" t="s">
        <v>517</v>
      </c>
      <c r="AF1077" s="283" t="str">
        <f t="shared" si="92"/>
        <v>A622125</v>
      </c>
      <c r="AG1077" s="283" t="str">
        <f>VLOOKUP(AF1077,[2]AKT!$C$4:$E$324,3,FALSE)</f>
        <v>0150</v>
      </c>
    </row>
    <row r="1078" spans="30:33">
      <c r="AD1078" s="283" t="s">
        <v>516</v>
      </c>
      <c r="AE1078" s="283" t="s">
        <v>515</v>
      </c>
      <c r="AF1078" s="283" t="str">
        <f t="shared" si="92"/>
        <v>A622125</v>
      </c>
      <c r="AG1078" s="283" t="str">
        <f>VLOOKUP(AF1078,[2]AKT!$C$4:$E$324,3,FALSE)</f>
        <v>0150</v>
      </c>
    </row>
    <row r="1079" spans="30:33">
      <c r="AD1079" s="283" t="s">
        <v>514</v>
      </c>
      <c r="AE1079" s="283" t="s">
        <v>513</v>
      </c>
      <c r="AF1079" s="283" t="str">
        <f t="shared" si="92"/>
        <v>A622125</v>
      </c>
      <c r="AG1079" s="283" t="str">
        <f>VLOOKUP(AF1079,[2]AKT!$C$4:$E$324,3,FALSE)</f>
        <v>0150</v>
      </c>
    </row>
    <row r="1080" spans="30:33">
      <c r="AD1080" s="283" t="s">
        <v>512</v>
      </c>
      <c r="AE1080" s="283" t="s">
        <v>511</v>
      </c>
      <c r="AF1080" s="283" t="str">
        <f t="shared" si="92"/>
        <v>A622125</v>
      </c>
      <c r="AG1080" s="283" t="str">
        <f>VLOOKUP(AF1080,[2]AKT!$C$4:$E$324,3,FALSE)</f>
        <v>0150</v>
      </c>
    </row>
    <row r="1081" spans="30:33">
      <c r="AD1081" s="283" t="s">
        <v>510</v>
      </c>
      <c r="AE1081" s="283" t="s">
        <v>509</v>
      </c>
      <c r="AF1081" s="283" t="str">
        <f t="shared" si="92"/>
        <v>A622125</v>
      </c>
      <c r="AG1081" s="283" t="str">
        <f>VLOOKUP(AF1081,[2]AKT!$C$4:$E$324,3,FALSE)</f>
        <v>0150</v>
      </c>
    </row>
    <row r="1082" spans="30:33">
      <c r="AD1082" s="283" t="s">
        <v>508</v>
      </c>
      <c r="AE1082" s="283" t="s">
        <v>507</v>
      </c>
      <c r="AF1082" s="283" t="str">
        <f t="shared" si="92"/>
        <v>A622125</v>
      </c>
      <c r="AG1082" s="283" t="str">
        <f>VLOOKUP(AF1082,[2]AKT!$C$4:$E$324,3,FALSE)</f>
        <v>0150</v>
      </c>
    </row>
    <row r="1083" spans="30:33">
      <c r="AD1083" s="283" t="s">
        <v>506</v>
      </c>
      <c r="AE1083" s="283" t="s">
        <v>505</v>
      </c>
      <c r="AF1083" s="283" t="str">
        <f t="shared" ref="AF1083:AF1105" si="93">LEFT(AD1083,7)</f>
        <v>K622128</v>
      </c>
      <c r="AG1083" s="283" t="str">
        <f>VLOOKUP(AF1083,[2]AKT!$C$4:$E$324,3,FALSE)</f>
        <v>0150</v>
      </c>
    </row>
    <row r="1084" spans="30:33">
      <c r="AD1084" s="283" t="s">
        <v>504</v>
      </c>
      <c r="AE1084" s="283" t="s">
        <v>503</v>
      </c>
      <c r="AF1084" s="283" t="str">
        <f t="shared" si="93"/>
        <v>K622128</v>
      </c>
      <c r="AG1084" s="283" t="str">
        <f>VLOOKUP(AF1084,[2]AKT!$C$4:$E$324,3,FALSE)</f>
        <v>0150</v>
      </c>
    </row>
    <row r="1085" spans="30:33">
      <c r="AD1085" s="283" t="s">
        <v>502</v>
      </c>
      <c r="AE1085" s="283" t="s">
        <v>501</v>
      </c>
      <c r="AF1085" s="283" t="str">
        <f t="shared" si="93"/>
        <v>K622128</v>
      </c>
      <c r="AG1085" s="283" t="str">
        <f>VLOOKUP(AF1085,[2]AKT!$C$4:$E$324,3,FALSE)</f>
        <v>0150</v>
      </c>
    </row>
    <row r="1086" spans="30:33">
      <c r="AD1086" s="283" t="s">
        <v>500</v>
      </c>
      <c r="AE1086" s="283" t="s">
        <v>499</v>
      </c>
      <c r="AF1086" s="283" t="str">
        <f t="shared" si="93"/>
        <v>K622128</v>
      </c>
      <c r="AG1086" s="283" t="str">
        <f>VLOOKUP(AF1086,[2]AKT!$C$4:$E$324,3,FALSE)</f>
        <v>0150</v>
      </c>
    </row>
    <row r="1087" spans="30:33">
      <c r="AD1087" s="283" t="s">
        <v>498</v>
      </c>
      <c r="AE1087" s="283" t="s">
        <v>497</v>
      </c>
      <c r="AF1087" s="283" t="str">
        <f t="shared" si="93"/>
        <v>K622128</v>
      </c>
      <c r="AG1087" s="283" t="str">
        <f>VLOOKUP(AF1087,[2]AKT!$C$4:$E$324,3,FALSE)</f>
        <v>0150</v>
      </c>
    </row>
    <row r="1088" spans="30:33">
      <c r="AD1088" s="283" t="s">
        <v>496</v>
      </c>
      <c r="AE1088" s="283" t="s">
        <v>495</v>
      </c>
      <c r="AF1088" s="283" t="str">
        <f t="shared" si="93"/>
        <v>K622128</v>
      </c>
      <c r="AG1088" s="283" t="str">
        <f>VLOOKUP(AF1088,[2]AKT!$C$4:$E$324,3,FALSE)</f>
        <v>0150</v>
      </c>
    </row>
    <row r="1089" spans="30:33">
      <c r="AD1089" s="283" t="s">
        <v>494</v>
      </c>
      <c r="AE1089" s="283" t="s">
        <v>493</v>
      </c>
      <c r="AF1089" s="283" t="str">
        <f t="shared" si="93"/>
        <v>K622128</v>
      </c>
      <c r="AG1089" s="283" t="str">
        <f>VLOOKUP(AF1089,[2]AKT!$C$4:$E$324,3,FALSE)</f>
        <v>0150</v>
      </c>
    </row>
    <row r="1090" spans="30:33">
      <c r="AD1090" s="283" t="s">
        <v>492</v>
      </c>
      <c r="AE1090" s="283" t="s">
        <v>491</v>
      </c>
      <c r="AF1090" s="283" t="str">
        <f t="shared" si="93"/>
        <v>K622128</v>
      </c>
      <c r="AG1090" s="283" t="str">
        <f>VLOOKUP(AF1090,[2]AKT!$C$4:$E$324,3,FALSE)</f>
        <v>0150</v>
      </c>
    </row>
    <row r="1091" spans="30:33">
      <c r="AD1091" s="283" t="s">
        <v>490</v>
      </c>
      <c r="AE1091" s="283" t="s">
        <v>489</v>
      </c>
      <c r="AF1091" s="283" t="str">
        <f t="shared" si="93"/>
        <v>K628080</v>
      </c>
      <c r="AG1091" s="283" t="str">
        <f>VLOOKUP(AF1091,[2]AKT!$C$4:$E$324,3,FALSE)</f>
        <v>0970</v>
      </c>
    </row>
    <row r="1092" spans="30:33">
      <c r="AD1092" s="283" t="s">
        <v>488</v>
      </c>
      <c r="AE1092" s="283" t="s">
        <v>482</v>
      </c>
      <c r="AF1092" s="283" t="str">
        <f t="shared" si="93"/>
        <v>K628080</v>
      </c>
      <c r="AG1092" s="283" t="str">
        <f>VLOOKUP(AF1092,[2]AKT!$C$4:$E$324,3,FALSE)</f>
        <v>0970</v>
      </c>
    </row>
    <row r="1093" spans="30:33">
      <c r="AD1093" s="283" t="s">
        <v>487</v>
      </c>
      <c r="AE1093" s="283" t="s">
        <v>486</v>
      </c>
      <c r="AF1093" s="283" t="str">
        <f t="shared" si="93"/>
        <v>K628081</v>
      </c>
      <c r="AG1093" s="283" t="str">
        <f>VLOOKUP(AF1093,[2]AKT!$C$4:$E$324,3,FALSE)</f>
        <v>0970</v>
      </c>
    </row>
    <row r="1094" spans="30:33">
      <c r="AD1094" s="283" t="s">
        <v>485</v>
      </c>
      <c r="AE1094" s="283" t="s">
        <v>484</v>
      </c>
      <c r="AF1094" s="283" t="str">
        <f t="shared" si="93"/>
        <v>K628081</v>
      </c>
      <c r="AG1094" s="283" t="str">
        <f>VLOOKUP(AF1094,[2]AKT!$C$4:$E$324,3,FALSE)</f>
        <v>0970</v>
      </c>
    </row>
    <row r="1095" spans="30:33">
      <c r="AD1095" s="283" t="s">
        <v>483</v>
      </c>
      <c r="AE1095" s="283" t="s">
        <v>482</v>
      </c>
      <c r="AF1095" s="283" t="str">
        <f t="shared" si="93"/>
        <v>K628081</v>
      </c>
      <c r="AG1095" s="283" t="str">
        <f>VLOOKUP(AF1095,[2]AKT!$C$4:$E$324,3,FALSE)</f>
        <v>0970</v>
      </c>
    </row>
    <row r="1096" spans="30:33">
      <c r="AD1096" s="283" t="s">
        <v>481</v>
      </c>
      <c r="AE1096" s="283" t="s">
        <v>480</v>
      </c>
      <c r="AF1096" s="283" t="str">
        <f t="shared" si="93"/>
        <v>K628087</v>
      </c>
      <c r="AG1096" s="283" t="str">
        <f>VLOOKUP(AF1096,[2]AKT!$C$4:$E$324,3,FALSE)</f>
        <v>0133</v>
      </c>
    </row>
    <row r="1097" spans="30:33">
      <c r="AD1097" s="283" t="s">
        <v>479</v>
      </c>
      <c r="AE1097" s="283" t="s">
        <v>478</v>
      </c>
      <c r="AF1097" s="283" t="str">
        <f t="shared" si="93"/>
        <v>K628087</v>
      </c>
      <c r="AG1097" s="283" t="str">
        <f>VLOOKUP(AF1097,[2]AKT!$C$4:$E$324,3,FALSE)</f>
        <v>0133</v>
      </c>
    </row>
    <row r="1098" spans="30:33">
      <c r="AD1098" s="283" t="s">
        <v>477</v>
      </c>
      <c r="AE1098" s="283" t="s">
        <v>476</v>
      </c>
      <c r="AF1098" s="283" t="str">
        <f t="shared" si="93"/>
        <v>K848038</v>
      </c>
      <c r="AG1098" s="283" t="str">
        <f>VLOOKUP(AF1098,[2]AKT!$C$4:$E$324,3,FALSE)</f>
        <v>0950</v>
      </c>
    </row>
    <row r="1099" spans="30:33">
      <c r="AD1099" s="283" t="s">
        <v>475</v>
      </c>
      <c r="AE1099" s="283" t="s">
        <v>474</v>
      </c>
      <c r="AF1099" s="283" t="str">
        <f t="shared" si="93"/>
        <v>K848038</v>
      </c>
      <c r="AG1099" s="283" t="str">
        <f>VLOOKUP(AF1099,[2]AKT!$C$4:$E$324,3,FALSE)</f>
        <v>0950</v>
      </c>
    </row>
    <row r="1100" spans="30:33">
      <c r="AD1100" s="283" t="s">
        <v>473</v>
      </c>
      <c r="AE1100" s="283" t="s">
        <v>472</v>
      </c>
      <c r="AF1100" s="283" t="str">
        <f t="shared" si="93"/>
        <v>K848038</v>
      </c>
      <c r="AG1100" s="283" t="str">
        <f>VLOOKUP(AF1100,[2]AKT!$C$4:$E$324,3,FALSE)</f>
        <v>0950</v>
      </c>
    </row>
    <row r="1101" spans="30:33">
      <c r="AD1101" s="283" t="s">
        <v>471</v>
      </c>
      <c r="AE1101" s="283" t="s">
        <v>470</v>
      </c>
      <c r="AF1101" s="283" t="str">
        <f t="shared" si="93"/>
        <v>K848038</v>
      </c>
      <c r="AG1101" s="283" t="str">
        <f>VLOOKUP(AF1101,[2]AKT!$C$4:$E$324,3,FALSE)</f>
        <v>0950</v>
      </c>
    </row>
    <row r="1102" spans="30:33">
      <c r="AD1102" s="283" t="s">
        <v>469</v>
      </c>
      <c r="AE1102" s="283" t="s">
        <v>468</v>
      </c>
      <c r="AF1102" s="283" t="str">
        <f t="shared" si="93"/>
        <v>K848038</v>
      </c>
      <c r="AG1102" s="283" t="str">
        <f>VLOOKUP(AF1102,[2]AKT!$C$4:$E$324,3,FALSE)</f>
        <v>0950</v>
      </c>
    </row>
    <row r="1103" spans="30:33">
      <c r="AD1103" s="283" t="s">
        <v>467</v>
      </c>
      <c r="AE1103" s="283" t="s">
        <v>466</v>
      </c>
      <c r="AF1103" s="283" t="str">
        <f t="shared" si="93"/>
        <v>K848038</v>
      </c>
      <c r="AG1103" s="283" t="str">
        <f>VLOOKUP(AF1103,[2]AKT!$C$4:$E$324,3,FALSE)</f>
        <v>0950</v>
      </c>
    </row>
    <row r="1104" spans="30:33">
      <c r="AD1104" s="283" t="s">
        <v>465</v>
      </c>
      <c r="AE1104" s="283" t="s">
        <v>464</v>
      </c>
      <c r="AF1104" s="283" t="str">
        <f t="shared" si="93"/>
        <v>K733069</v>
      </c>
      <c r="AG1104" s="283" t="str">
        <f>VLOOKUP(AF1104,[2]AKT!$C$4:$E$324,3,FALSE)</f>
        <v>0150</v>
      </c>
    </row>
    <row r="1105" spans="30:33">
      <c r="AD1105" s="283" t="s">
        <v>463</v>
      </c>
      <c r="AE1105" s="283" t="s">
        <v>462</v>
      </c>
      <c r="AF1105" s="283" t="str">
        <f t="shared" si="93"/>
        <v>K733069</v>
      </c>
      <c r="AG1105" s="283" t="str">
        <f>VLOOKUP(AF1105,[2]AKT!$C$4:$E$324,3,FALSE)</f>
        <v>0150</v>
      </c>
    </row>
  </sheetData>
  <sheetProtection selectLockedCells="1"/>
  <mergeCells count="1">
    <mergeCell ref="A1:B1"/>
  </mergeCells>
  <conditionalFormatting sqref="P3:P80">
    <cfRule type="expression" dxfId="0" priority="1">
      <formula>IF(OR(C3=3691,C3=3692,C3=3693,C3=3694),1,0)</formula>
    </cfRule>
  </conditionalFormatting>
  <dataValidations count="4">
    <dataValidation type="list" allowBlank="1" showInputMessage="1" showErrorMessage="1" errorTitle="GREŠKA" error="U ovo polje je dozvoljen unos samo brojčanih vrijednosti (bez decimala!)" prompt="Molimo odaberite vrijednost iz padajućeg izbornika!" sqref="E3:E516" xr:uid="{00000000-0002-0000-0300-000003000000}">
      <formula1>$AD$6:$AD$1105</formula1>
    </dataValidation>
    <dataValidation type="list" allowBlank="1" showInputMessage="1" showErrorMessage="1" errorTitle="GREŠKA" error="Za unos odaberite vrijednost iz padajućeg izbornika!" prompt="Molimo odaberite vrijednost iz padajućeg izbornika!" sqref="A3:A516" xr:uid="{00000000-0002-0000-0300-000002000000}">
      <formula1>$U$6:$U$31</formula1>
    </dataValidation>
    <dataValidation type="whole" allowBlank="1" showInputMessage="1" showErrorMessage="1" errorTitle="GREŠKA" error="U ovo polje je dozvoljen unos samo brojčanih vrijednosti (bez decimala!)" sqref="H3:J516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C3:C516" xr:uid="{00000000-0002-0000-0300-000000000000}">
      <formula1>$X$5:$X$144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4000000}">
          <x14:formula1>
            <xm:f>IF(OR(C81=3691,C81=3692,C81=3693,C81=3694),'C:\Users\korisnik\Desktop\Polugodišnje izvršenje fin. plana 2023\Mirela Zagorac\[OPĆI DIO IZVRŠENJE FP_I-VI 2023_predložak mzo.xlsx]KORISNICI DP'!#REF!,$M$1)</xm:f>
          </x14:formula1>
          <xm:sqref>P81:P516</xm:sqref>
        </x14:dataValidation>
        <x14:dataValidation type="list" allowBlank="1" showInputMessage="1" showErrorMessage="1" xr:uid="{373A2617-74D0-4637-AFEB-CD43E8ABC377}">
          <x14:formula1>
            <xm:f>IF(OR(C3=3691,C3=3692,C3=3693,C3=3694),'C:\Users\korisnik\Desktop\stari desktop\FIN PLAN\R+O KONAČAN PLAN 2023\[R+O Privitak 1 - Prijedlog financijskog plana_2023-2025.xlsx]KORISNICI DP'!#REF!,$M$1)</xm:f>
          </x14:formula1>
          <xm:sqref>P3:P80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5</vt:i4>
      </vt:variant>
    </vt:vector>
  </HeadingPairs>
  <TitlesOfParts>
    <vt:vector size="9" baseType="lpstr">
      <vt:lpstr>SAŽETAK </vt:lpstr>
      <vt:lpstr>RAČUN PRIHODA I RASHODA</vt:lpstr>
      <vt:lpstr>08006 POSEBNI DIO FP</vt:lpstr>
      <vt:lpstr>Unos rashoda P4</vt:lpstr>
      <vt:lpstr>'08006 POSEBNI DIO FP'!Ispis_naslova</vt:lpstr>
      <vt:lpstr>'Unos rashoda P4'!Ispis_naslova</vt:lpstr>
      <vt:lpstr>'RAČUN PRIHODA I RASHODA'!Podrucje_ispisa</vt:lpstr>
      <vt:lpstr>'SAŽETAK '!Podrucje_ispisa</vt:lpstr>
      <vt:lpstr>'Unos rashoda P4'!Podrucje_ispisa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2023-07-28T08:41:34Z</dcterms:modified>
</cp:coreProperties>
</file>