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FINANCIJSKI PLAN 2023\R+O 4.10.2023\"/>
    </mc:Choice>
  </mc:AlternateContent>
  <xr:revisionPtr revIDLastSave="0" documentId="13_ncr:1_{700A43BE-9B72-4B21-B015-CCCA67F84758}" xr6:coauthVersionLast="36" xr6:coauthVersionMax="36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0490" windowHeight="7665" activeTab="3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</workbook>
</file>

<file path=xl/calcChain.xml><?xml version="1.0" encoding="utf-8"?>
<calcChain xmlns="http://schemas.openxmlformats.org/spreadsheetml/2006/main">
  <c r="E16" i="35" l="1"/>
  <c r="D19" i="12" l="1"/>
  <c r="D18" i="12"/>
  <c r="D15" i="12"/>
  <c r="C18" i="12"/>
  <c r="C15" i="12"/>
  <c r="D70" i="33" l="1"/>
  <c r="C70" i="33"/>
  <c r="D41" i="36"/>
  <c r="D38" i="36"/>
  <c r="D35" i="36"/>
  <c r="D32" i="36"/>
  <c r="C41" i="36"/>
  <c r="C38" i="36"/>
  <c r="C35" i="36"/>
  <c r="C32" i="36"/>
  <c r="D16" i="36"/>
  <c r="D13" i="36"/>
  <c r="D10" i="36"/>
  <c r="D7" i="36"/>
  <c r="C16" i="36"/>
  <c r="C13" i="36"/>
  <c r="C10" i="36"/>
  <c r="C7" i="36"/>
  <c r="E30" i="35"/>
  <c r="E29" i="35"/>
  <c r="E28" i="35"/>
  <c r="E17" i="35"/>
  <c r="E15" i="35"/>
  <c r="E13" i="35"/>
  <c r="D28" i="35"/>
  <c r="D29" i="35"/>
  <c r="D17" i="35"/>
  <c r="D29" i="12" l="1"/>
  <c r="D28" i="12"/>
  <c r="C29" i="12"/>
  <c r="C28" i="12"/>
  <c r="C19" i="12"/>
  <c r="C51" i="36" l="1"/>
  <c r="C40" i="36"/>
  <c r="C26" i="36"/>
  <c r="E37" i="35"/>
  <c r="E33" i="35"/>
  <c r="E32" i="35"/>
  <c r="D37" i="35"/>
  <c r="D33" i="35"/>
  <c r="D32" i="35"/>
  <c r="D30" i="35"/>
  <c r="D16" i="35"/>
  <c r="D15" i="35"/>
  <c r="D14" i="35"/>
  <c r="D13" i="35"/>
  <c r="I23" i="34"/>
  <c r="G23" i="34"/>
  <c r="I15" i="34"/>
  <c r="G15" i="34"/>
  <c r="I7" i="34"/>
  <c r="I5" i="34"/>
  <c r="G7" i="34"/>
  <c r="G5" i="34"/>
  <c r="C20" i="36" l="1"/>
  <c r="C8" i="36"/>
  <c r="E14" i="35"/>
  <c r="H16" i="25" l="1"/>
  <c r="G20" i="4"/>
  <c r="C45" i="36" l="1"/>
  <c r="C33" i="36"/>
  <c r="D31" i="35"/>
  <c r="I3" i="4" l="1"/>
  <c r="H3" i="4"/>
  <c r="G3" i="4"/>
  <c r="J44" i="17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D26" i="35" l="1"/>
  <c r="E26" i="35"/>
  <c r="E10" i="35"/>
  <c r="D10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6" i="12" s="1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<sst xmlns="http://schemas.openxmlformats.org/spreadsheetml/2006/main" count="13908" uniqueCount="4838">
  <si>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</si>
  <si>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</si>
  <si>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</si>
  <si>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</si>
  <si>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</si>
  <si>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</si>
  <si>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</si>
  <si>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</si>
  <si>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</si>
  <si>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</si>
  <si>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</si>
  <si>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</si>
  <si>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</si>
  <si>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</si>
  <si>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</si>
  <si>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</si>
  <si>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</si>
  <si>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</si>
  <si>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</si>
  <si>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</si>
  <si>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</si>
  <si>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</si>
  <si>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</si>
  <si>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</si>
  <si>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</si>
  <si>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</si>
  <si>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</si>
  <si>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</si>
  <si>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</si>
  <si>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</si>
  <si>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</si>
  <si>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</si>
  <si>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</si>
  <si>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</si>
  <si>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</si>
  <si>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</si>
  <si>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</si>
  <si>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</si>
  <si>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</si>
  <si>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</si>
  <si>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</si>
  <si>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</si>
  <si>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</si>
  <si>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</si>
  <si>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</si>
  <si>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</si>
  <si>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</si>
  <si>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</si>
  <si>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</si>
  <si>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</si>
  <si>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</si>
  <si>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</si>
  <si>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</si>
  <si>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</si>
  <si>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</si>
  <si>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</si>
  <si>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</si>
  <si>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</si>
  <si>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</si>
  <si>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</si>
  <si>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</si>
  <si>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</si>
  <si>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</si>
  <si>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</si>
  <si>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</si>
  <si>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</si>
  <si>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</si>
  <si>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</si>
  <si>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</si>
  <si>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</si>
  <si>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</si>
  <si>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</si>
  <si>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</si>
  <si>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</si>
  <si>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</si>
  <si>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</si>
  <si>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</si>
  <si>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</si>
  <si>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</si>
  <si>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</si>
  <si>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</si>
  <si>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</si>
  <si>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</si>
  <si>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</si>
  <si>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</si>
  <si>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</si>
  <si>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</si>
  <si>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</si>
  <si>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</si>
  <si>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</si>
  <si>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</si>
  <si>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</si>
  <si>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</si>
  <si>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</si>
  <si>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</si>
  <si>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</si>
  <si>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</si>
  <si>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</si>
  <si>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</si>
  <si>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</si>
  <si>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</si>
  <si>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</si>
  <si>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</si>
  <si>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</si>
  <si>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</si>
  <si>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</si>
  <si>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</si>
  <si>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</si>
  <si>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</si>
  <si>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</si>
  <si>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</si>
  <si>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</si>
  <si>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</si>
  <si>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</si>
  <si>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</si>
  <si>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</si>
  <si>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</si>
  <si>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</si>
  <si>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</si>
  <si>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</si>
  <si>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</si>
  <si>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</si>
  <si>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</si>
  <si>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</si>
  <si>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</si>
  <si>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</si>
  <si>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</si>
  <si>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</si>
  <si>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</si>
  <si>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</si>
  <si>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</si>
  <si>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</si>
  <si>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</si>
  <si>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</si>
  <si>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</si>
  <si>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</si>
  <si>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</si>
  <si>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</si>
  <si>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</si>
  <si>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</si>
  <si>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</si>
  <si>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</si>
  <si>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</si>
  <si>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</si>
  <si>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</si>
  <si>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</si>
  <si>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</si>
  <si>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</si>
  <si>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</si>
  <si>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</si>
  <si>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</si>
  <si>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</si>
  <si>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</si>
  <si>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</si>
  <si>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</si>
  <si>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</si>
  <si>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</si>
  <si>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</si>
  <si>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</si>
  <si>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</si>
  <si>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</si>
  <si>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</si>
  <si>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</si>
  <si>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</si>
  <si>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</si>
  <si>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</si>
  <si>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</si>
  <si>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</si>
  <si>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</si>
  <si>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</si>
  <si>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</si>
  <si>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</si>
  <si>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</si>
  <si>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</si>
  <si>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</si>
  <si>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</si>
  <si>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</si>
  <si>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</si>
  <si>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</si>
  <si>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</si>
  <si>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</si>
  <si>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</si>
  <si>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</si>
  <si>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</si>
  <si>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</si>
  <si>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</si>
  <si>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</si>
  <si>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</si>
  <si>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</si>
  <si>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</si>
  <si>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</si>
  <si>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</si>
  <si>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</si>
  <si>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</si>
  <si>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</si>
  <si>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</si>
  <si>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</si>
  <si>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</si>
  <si>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</si>
  <si>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</si>
  <si>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</si>
  <si>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</si>
  <si>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</si>
  <si>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</si>
  <si>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</si>
  <si>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</si>
  <si>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</si>
  <si>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</si>
  <si>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</si>
  <si>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</si>
  <si>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</si>
  <si>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</si>
  <si>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</si>
  <si>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</si>
  <si>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</si>
  <si>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</si>
  <si>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</si>
  <si>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</si>
  <si>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</si>
  <si>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</si>
  <si>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</si>
  <si>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</si>
  <si>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</si>
  <si>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</si>
  <si>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</si>
  <si>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</si>
  <si>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</si>
  <si>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</si>
  <si>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</si>
  <si>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</si>
  <si>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</si>
  <si>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</si>
  <si>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</si>
  <si>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</si>
  <si>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</si>
  <si>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</si>
  <si>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</si>
  <si>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</si>
  <si>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</si>
  <si>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</si>
  <si>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</si>
  <si>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</si>
  <si>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</si>
  <si>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</si>
  <si>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</si>
  <si>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</si>
  <si>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</si>
  <si>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</si>
  <si>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</si>
  <si>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</si>
  <si>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</si>
  <si>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</si>
  <si>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</si>
  <si>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</si>
  <si>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</si>
  <si>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</si>
  <si>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</si>
  <si>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</si>
  <si>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</si>
  <si>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</si>
  <si>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</si>
  <si>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</si>
  <si>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</si>
  <si>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</si>
  <si>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</si>
  <si>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</si>
  <si>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</si>
  <si>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</si>
  <si>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</si>
  <si>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</si>
  <si>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</si>
  <si>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</si>
  <si>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</si>
  <si>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</si>
  <si>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</si>
  <si>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</si>
  <si>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</si>
  <si>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</si>
  <si>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</si>
  <si>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</si>
  <si>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</si>
  <si>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</si>
  <si>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</si>
  <si>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</si>
  <si>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</si>
  <si>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</si>
  <si>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</si>
  <si>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</si>
  <si>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</si>
  <si>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</si>
  <si>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</si>
  <si>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</si>
  <si>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</si>
  <si>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</si>
  <si>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</si>
  <si>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</si>
  <si>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</si>
  <si>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</si>
  <si>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</si>
  <si>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</si>
  <si>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</si>
  <si>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</si>
  <si>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</si>
  <si>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</si>
  <si>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</si>
  <si>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</si>
  <si>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</si>
  <si>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</si>
  <si>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</si>
  <si>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</si>
  <si>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</si>
  <si>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</si>
  <si>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</si>
  <si>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</si>
  <si>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</si>
  <si>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</si>
  <si>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</si>
  <si>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</si>
  <si>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</si>
  <si>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</si>
  <si>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</si>
  <si>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</si>
  <si>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</si>
  <si>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</si>
  <si>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</si>
  <si>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</si>
  <si>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</si>
  <si>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</si>
  <si>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</si>
  <si>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</si>
  <si>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</si>
  <si>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</si>
  <si>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</si>
  <si>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</si>
  <si>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</si>
  <si>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</si>
  <si>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</si>
  <si>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</si>
  <si>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</si>
  <si>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</si>
  <si>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</si>
  <si>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</si>
  <si>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</si>
  <si>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</si>
  <si>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</si>
  <si>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</si>
  <si>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</si>
  <si>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</si>
  <si>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</si>
  <si>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</si>
  <si>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</si>
  <si>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</si>
  <si>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</si>
  <si>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</si>
  <si>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</si>
  <si>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</si>
  <si>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</si>
  <si>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</si>
  <si>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</si>
  <si>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</si>
  <si>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</si>
  <si>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</si>
  <si>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</si>
  <si>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</si>
  <si>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</si>
  <si>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</si>
  <si>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</si>
  <si>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</si>
  <si>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</si>
  <si>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</si>
  <si>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</si>
  <si>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</si>
  <si>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</si>
  <si>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</si>
  <si>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</si>
  <si>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</si>
  <si>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</si>
  <si>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</si>
  <si>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</si>
  <si>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</si>
  <si>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</si>
  <si>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</si>
  <si>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</si>
  <si>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</si>
  <si>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</si>
  <si>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</si>
  <si>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</si>
  <si>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</si>
  <si>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</si>
  <si>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</si>
  <si>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</si>
  <si>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</si>
  <si>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</si>
  <si>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</si>
  <si>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</si>
  <si>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</si>
  <si>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</si>
  <si>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</si>
  <si>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</si>
  <si>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</si>
  <si>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</si>
  <si>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</si>
  <si>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</si>
  <si>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</si>
  <si>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</si>
  <si>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</si>
  <si>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</si>
  <si>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</si>
  <si>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</si>
  <si>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</si>
  <si>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</si>
  <si>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</si>
  <si>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</si>
  <si>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</si>
  <si>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</si>
  <si>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</si>
  <si>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</si>
  <si>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</si>
  <si>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</si>
  <si>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</si>
  <si>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</si>
  <si>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</si>
  <si>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</si>
  <si>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</si>
  <si>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</si>
  <si>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</si>
  <si>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</si>
  <si>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</si>
  <si>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</si>
  <si>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</si>
  <si>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</si>
  <si>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</si>
  <si>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</si>
  <si>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</si>
  <si>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</si>
  <si>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</si>
  <si>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</si>
  <si>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</si>
  <si>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</si>
  <si>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</si>
  <si>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</si>
  <si>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</si>
  <si>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</si>
  <si>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</si>
  <si>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</si>
  <si>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</si>
  <si>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</si>
  <si>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</si>
  <si>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</si>
  <si>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</si>
  <si>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</si>
  <si>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</si>
  <si>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</si>
  <si>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</si>
  <si>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</si>
  <si>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</si>
  <si>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</si>
  <si>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</si>
  <si>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</si>
  <si>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</si>
  <si>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</si>
  <si>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</si>
  <si>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</si>
  <si>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</si>
  <si>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</si>
  <si>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</si>
  <si>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</si>
  <si>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</si>
  <si>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</si>
  <si>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</si>
  <si>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</si>
  <si>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</si>
  <si>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</si>
  <si>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</si>
  <si>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</si>
  <si>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</si>
  <si>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</si>
  <si>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</si>
  <si>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</si>
  <si>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</si>
  <si>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</si>
  <si>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</si>
  <si>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</si>
  <si>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</si>
  <si>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</si>
  <si>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</si>
  <si>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</si>
  <si>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</si>
  <si>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</si>
  <si>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</si>
  <si>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</si>
  <si>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</si>
  <si>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</si>
  <si>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</si>
  <si>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</si>
  <si>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</si>
  <si>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</si>
  <si>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</si>
  <si>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</si>
  <si>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</si>
  <si>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</si>
  <si>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</si>
  <si>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</si>
  <si>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</si>
  <si>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</si>
  <si>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</si>
  <si>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</si>
  <si>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</si>
  <si>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</si>
  <si>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</si>
  <si>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</si>
  <si>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</si>
  <si>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</si>
  <si>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</si>
  <si>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</si>
  <si>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</si>
  <si>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</si>
  <si>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</si>
  <si>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</si>
  <si>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</si>
  <si>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</si>
  <si>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</si>
  <si>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</si>
  <si>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</si>
  <si>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</si>
  <si>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</si>
  <si>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</si>
  <si>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</si>
  <si>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</si>
  <si>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</si>
  <si>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</si>
  <si>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</si>
  <si>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</si>
  <si>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</si>
  <si>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</si>
  <si>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</si>
  <si>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</si>
  <si>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</si>
  <si>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</si>
  <si>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</si>
  <si>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</si>
  <si>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</si>
  <si>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</si>
  <si>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</si>
  <si>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</si>
  <si>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</si>
  <si>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</si>
  <si>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</si>
  <si>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</si>
  <si>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</si>
  <si>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</si>
  <si>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</si>
  <si>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</si>
  <si>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</si>
  <si>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</si>
  <si>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</si>
  <si>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</si>
  <si>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</si>
  <si>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</si>
  <si>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</si>
  <si>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</si>
  <si>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</si>
  <si>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</si>
  <si>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</si>
  <si>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</si>
  <si>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</si>
  <si>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</si>
  <si>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</si>
  <si>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</si>
  <si>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</si>
  <si>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</si>
  <si>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</si>
  <si>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</si>
  <si>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</si>
  <si>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</si>
  <si>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</si>
  <si>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</si>
  <si>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</si>
  <si>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</si>
  <si>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</si>
  <si>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</si>
  <si>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</si>
  <si>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</si>
  <si>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</si>
  <si>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</si>
  <si>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</si>
  <si>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</si>
  <si>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</si>
  <si>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</si>
  <si>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</si>
  <si>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</si>
  <si>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</si>
  <si>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</si>
  <si>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</si>
  <si>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</si>
  <si>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</si>
  <si>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</si>
  <si>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</si>
  <si>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</si>
  <si>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</si>
  <si>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</si>
  <si>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</si>
  <si>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</si>
  <si>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</si>
  <si>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</si>
  <si>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</si>
  <si>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</si>
  <si>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</si>
  <si>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</si>
  <si>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</si>
  <si>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</si>
  <si>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</si>
  <si>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</si>
  <si>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</si>
  <si>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</si>
  <si>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</si>
  <si>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</si>
  <si>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</si>
  <si>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</si>
  <si>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</si>
  <si>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</si>
  <si>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</si>
  <si>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</si>
  <si>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</si>
  <si>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</si>
  <si>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</si>
  <si>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</si>
  <si>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</si>
  <si>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</si>
  <si>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</si>
  <si>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</si>
  <si>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</si>
  <si>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</si>
  <si>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</si>
  <si>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</si>
  <si>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</si>
  <si>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</si>
  <si>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</si>
  <si>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</si>
  <si>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</si>
  <si>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</si>
  <si>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</si>
  <si>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</si>
  <si>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</si>
  <si>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</si>
  <si>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</si>
  <si>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</si>
  <si>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</si>
  <si>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</si>
  <si>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</si>
  <si>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</si>
  <si>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</si>
  <si>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</si>
  <si>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</si>
  <si>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</si>
  <si>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</si>
  <si>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</si>
  <si>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</si>
  <si>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</si>
  <si>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</si>
  <si>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</si>
  <si>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</si>
  <si>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</si>
  <si>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</si>
  <si>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</si>
  <si>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</si>
  <si>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</si>
  <si>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</si>
  <si>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</si>
  <si>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</si>
  <si>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</si>
  <si>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</si>
  <si>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</si>
  <si>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</si>
  <si>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</si>
  <si>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</si>
  <si>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</si>
  <si>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</si>
  <si>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</si>
  <si>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</si>
  <si>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</si>
  <si>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</si>
  <si>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</si>
  <si>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</si>
  <si>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</si>
  <si>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</si>
  <si>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</si>
  <si>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</si>
  <si>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</si>
  <si>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</si>
  <si>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</si>
  <si>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</si>
  <si>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</si>
  <si>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</si>
  <si>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</si>
  <si>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</si>
  <si>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</si>
  <si>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</si>
  <si>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</si>
  <si>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</si>
  <si>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</si>
  <si>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</si>
  <si>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</si>
  <si>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</si>
  <si>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</si>
  <si>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</si>
  <si>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</si>
  <si>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</si>
  <si>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</si>
  <si>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</si>
  <si>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</si>
  <si>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</si>
  <si>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</si>
  <si>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</si>
  <si>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</si>
  <si>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</si>
  <si>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</si>
  <si>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</si>
  <si>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</si>
  <si>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</si>
  <si>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</si>
  <si>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</si>
  <si>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</si>
  <si>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</si>
  <si>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</si>
  <si>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</si>
  <si>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</si>
  <si>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</si>
  <si>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</si>
  <si>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</si>
  <si>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</si>
  <si>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</si>
  <si>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</si>
  <si>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</si>
  <si>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</si>
  <si>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</si>
  <si>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</si>
  <si>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</si>
  <si>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</si>
  <si>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</si>
  <si>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</si>
  <si>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</si>
  <si>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</si>
  <si>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</si>
  <si>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</si>
  <si>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</si>
  <si>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</si>
  <si>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</si>
  <si>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</si>
  <si>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</si>
  <si>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</si>
  <si>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</si>
  <si>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</si>
  <si>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</si>
  <si>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</si>
  <si>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</si>
  <si>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</si>
  <si>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</si>
  <si>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</si>
  <si>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</si>
  <si>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</si>
  <si>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</si>
  <si>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</si>
  <si>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</si>
  <si>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</si>
  <si>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</si>
  <si>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</si>
  <si>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</si>
  <si>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</si>
  <si>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</si>
  <si>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</si>
  <si>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</si>
  <si>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</si>
  <si>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</si>
  <si>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</si>
  <si>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</si>
  <si>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</si>
  <si>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</si>
  <si>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</si>
  <si>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</si>
  <si>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</si>
  <si>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</si>
  <si>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</si>
  <si>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</si>
  <si>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</si>
  <si>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</si>
  <si>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</si>
  <si>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</si>
  <si>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</si>
  <si>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</si>
  <si>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</si>
  <si>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</si>
  <si>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</si>
  <si>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</si>
  <si>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</si>
  <si>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</si>
  <si>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</si>
  <si>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</si>
  <si>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</si>
  <si>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</si>
  <si>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</si>
  <si>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</si>
  <si>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</si>
  <si>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</si>
  <si>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</si>
  <si>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</si>
  <si>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</si>
  <si>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</si>
  <si>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</si>
  <si>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</si>
  <si>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</si>
  <si>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</si>
  <si>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</si>
  <si>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</si>
  <si>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</si>
  <si>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</si>
  <si>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</si>
  <si>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</si>
  <si>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</si>
  <si>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</si>
  <si>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</si>
  <si>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</si>
  <si>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</si>
  <si>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</si>
  <si>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</si>
  <si>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</si>
  <si>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</si>
  <si>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</si>
  <si>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</si>
  <si>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</si>
  <si>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</si>
  <si>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</si>
  <si>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</si>
  <si>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</si>
  <si>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</si>
  <si>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</si>
  <si>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</si>
  <si>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</si>
  <si>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</si>
  <si>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</si>
  <si>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</si>
  <si>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</si>
  <si>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</si>
  <si>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</si>
  <si>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</si>
  <si>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</si>
  <si>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</si>
  <si>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</si>
  <si>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</si>
  <si>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</si>
  <si>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</si>
  <si>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</si>
  <si>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</si>
  <si>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</si>
  <si>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</si>
  <si>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</si>
  <si>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</si>
  <si>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</si>
  <si>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</si>
  <si>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</si>
  <si>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</si>
  <si>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</si>
  <si>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</si>
  <si>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</si>
  <si>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</si>
  <si>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</si>
  <si>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</si>
  <si>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</si>
  <si>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</si>
  <si>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</si>
  <si>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</si>
  <si>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</si>
  <si>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</si>
  <si>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</si>
  <si>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</si>
  <si>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</si>
  <si>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</si>
  <si>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</si>
  <si>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</si>
  <si>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</si>
  <si>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</si>
  <si>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</si>
  <si>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</si>
  <si>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</si>
  <si>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</si>
  <si>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</si>
  <si>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</si>
  <si>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</si>
  <si>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</si>
  <si>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</si>
  <si>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</si>
  <si>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</si>
  <si>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</si>
  <si>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</si>
  <si>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</si>
  <si>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</si>
  <si>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</si>
  <si>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</si>
  <si>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</si>
  <si>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</si>
  <si>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</si>
  <si>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</si>
  <si>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</si>
  <si>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</si>
  <si>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</si>
  <si>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</si>
  <si>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</si>
  <si>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</si>
  <si>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</si>
  <si>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</si>
  <si>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</si>
  <si>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</si>
  <si>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</si>
  <si>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</si>
  <si>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</si>
  <si>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</si>
  <si>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</si>
  <si>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</si>
  <si>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</si>
  <si>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</si>
  <si>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</si>
  <si>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</si>
  <si>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</si>
  <si>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</si>
  <si>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</si>
  <si>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</si>
  <si>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</si>
  <si>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</si>
  <si>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</si>
  <si>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</si>
  <si>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</si>
  <si>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</si>
  <si>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</si>
  <si>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</si>
  <si>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</si>
  <si>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</si>
  <si>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</si>
  <si>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</si>
  <si>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</si>
  <si>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</si>
  <si>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</si>
  <si>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</si>
  <si>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</si>
  <si>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</si>
  <si>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</si>
  <si>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</si>
  <si>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</si>
  <si>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</si>
  <si>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</si>
  <si>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</si>
  <si>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</si>
  <si>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</si>
  <si>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</si>
  <si>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</si>
  <si>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</si>
  <si>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</si>
  <si>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</si>
  <si>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</si>
  <si>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</si>
  <si>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</si>
  <si>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</si>
  <si>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</si>
  <si>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</si>
  <si>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</si>
  <si>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</si>
  <si>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</si>
  <si>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</si>
  <si>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</si>
  <si>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</si>
  <si>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</si>
  <si>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</si>
  <si>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</si>
  <si>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</si>
  <si>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</si>
  <si>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</si>
  <si>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</si>
  <si>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</si>
  <si>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</si>
  <si>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</si>
  <si>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</si>
  <si>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</si>
  <si>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</si>
  <si>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</si>
  <si>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</si>
  <si>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</si>
  <si>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</si>
  <si>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</si>
  <si>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</si>
  <si>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</si>
  <si>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</si>
  <si>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</si>
  <si>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</si>
  <si>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</si>
  <si>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</si>
  <si>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</si>
  <si>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</si>
  <si>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</si>
  <si>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</si>
  <si>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</si>
  <si>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</si>
  <si>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</si>
  <si>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</si>
  <si>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</si>
  <si>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</si>
  <si>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</si>
  <si>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</si>
  <si>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</si>
  <si>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</si>
  <si>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</si>
  <si>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</si>
  <si>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</si>
  <si>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</si>
  <si>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</si>
  <si>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</si>
  <si>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</si>
  <si>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</si>
  <si>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</si>
  <si>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</si>
  <si>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</si>
  <si>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</si>
  <si>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</si>
  <si>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</si>
  <si>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</si>
  <si>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</si>
  <si>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</si>
  <si>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</si>
  <si>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</si>
  <si>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</si>
  <si>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</si>
  <si>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</si>
  <si>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</si>
  <si>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</si>
  <si>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</si>
  <si>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</si>
  <si>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</si>
  <si>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</si>
  <si>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</si>
  <si>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</si>
  <si>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</si>
  <si>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</si>
  <si>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</si>
  <si>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</si>
  <si>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</si>
  <si>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</si>
  <si>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</si>
  <si>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</si>
  <si>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</si>
  <si>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</si>
  <si>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</si>
  <si>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</si>
  <si>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</si>
  <si>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</si>
  <si>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</si>
  <si>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</si>
  <si>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</si>
  <si>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</si>
  <si>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</si>
  <si>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</si>
  <si>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</si>
  <si>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</si>
  <si>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</si>
  <si>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</si>
  <si>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</si>
  <si>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</si>
  <si>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</si>
  <si>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</si>
  <si>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</si>
  <si>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</si>
  <si>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</si>
  <si>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</si>
  <si>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</si>
  <si>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</si>
  <si>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</si>
  <si>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</si>
  <si>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</si>
  <si>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</si>
  <si>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</si>
  <si>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</si>
  <si>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</si>
  <si>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</si>
  <si>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</si>
  <si>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</si>
  <si>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</si>
  <si>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</si>
  <si>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</si>
  <si>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</si>
  <si>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</si>
  <si>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</si>
  <si>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</si>
  <si>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</si>
  <si>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</si>
  <si>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</si>
  <si>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</si>
  <si>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</si>
  <si>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</si>
  <si>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</si>
  <si>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</si>
  <si>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</si>
  <si>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</si>
  <si>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</si>
  <si>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</si>
  <si>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</si>
  <si>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</si>
  <si>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</si>
  <si>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</si>
  <si>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</si>
  <si>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</si>
  <si>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</si>
  <si>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</si>
  <si>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</si>
  <si>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</si>
  <si>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</si>
  <si>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</si>
  <si>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</si>
  <si>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</si>
  <si>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</si>
  <si>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</si>
  <si>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</si>
  <si>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</si>
  <si>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</si>
  <si>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</si>
  <si>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</si>
  <si>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</si>
  <si>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</si>
  <si>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</si>
  <si>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</si>
  <si>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</si>
  <si>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</si>
  <si>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</si>
  <si>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</si>
  <si>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</si>
  <si>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</si>
  <si>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</si>
  <si>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</si>
  <si>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</si>
  <si>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</si>
  <si>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</si>
  <si>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</si>
  <si>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</si>
  <si>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</si>
  <si>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</si>
  <si>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</si>
  <si>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</si>
  <si>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</si>
  <si>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</si>
  <si>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</si>
  <si>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</si>
  <si>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</si>
  <si>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</si>
  <si>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</si>
  <si>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</si>
  <si>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</si>
  <si>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</si>
  <si>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</si>
  <si>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</si>
  <si>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</si>
  <si>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</si>
  <si>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</si>
  <si>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</si>
  <si>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</si>
  <si>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</si>
  <si>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</si>
  <si>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</si>
  <si>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</si>
  <si>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</si>
  <si>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</si>
  <si>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</si>
  <si>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</si>
  <si>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</si>
  <si>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</si>
  <si>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</si>
  <si>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</si>
  <si>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</si>
  <si>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</si>
  <si>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</si>
  <si>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</si>
  <si>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</si>
  <si>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</si>
  <si>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</si>
  <si>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</si>
  <si>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</si>
  <si>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</si>
  <si>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</si>
  <si>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</si>
  <si>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</si>
  <si>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</si>
  <si>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</si>
  <si>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</si>
  <si>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</si>
  <si>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</si>
  <si>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</si>
  <si>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</si>
  <si>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</si>
  <si>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</si>
  <si>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</si>
  <si>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</si>
  <si>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</si>
  <si>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</si>
  <si>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</si>
  <si>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</si>
  <si>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</si>
  <si>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</si>
  <si>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</si>
  <si>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</si>
  <si>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</si>
  <si>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</si>
  <si>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</si>
  <si>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</si>
  <si>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</si>
  <si>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</si>
  <si>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</si>
  <si>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</si>
  <si>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</si>
  <si>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</si>
  <si>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</si>
  <si>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</si>
  <si>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</si>
  <si>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</si>
  <si>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</si>
  <si>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</si>
  <si>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</si>
  <si>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</si>
  <si>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</si>
  <si>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</si>
  <si>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</si>
  <si>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</si>
  <si>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</si>
  <si>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</si>
  <si>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</si>
  <si>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</si>
  <si>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</si>
  <si>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</si>
  <si>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</si>
  <si>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</si>
  <si>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</si>
  <si>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</si>
  <si>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</si>
  <si>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</si>
  <si>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</si>
  <si>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</si>
  <si>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</si>
  <si>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</si>
  <si>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</si>
  <si>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</si>
  <si>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</si>
  <si>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</si>
  <si>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</si>
  <si>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</si>
  <si>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</si>
  <si>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</si>
  <si>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</si>
  <si>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</si>
  <si>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</si>
  <si>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</si>
  <si>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</si>
  <si>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</si>
  <si>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</si>
  <si>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</si>
  <si>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</si>
  <si>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</si>
  <si>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</si>
  <si>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</si>
  <si>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</si>
  <si>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</si>
  <si>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</si>
  <si>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</si>
  <si>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</si>
  <si>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</si>
  <si>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</si>
  <si>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</si>
  <si>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</si>
  <si>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</si>
  <si>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</si>
  <si>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</si>
  <si>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</si>
  <si>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</si>
  <si>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</si>
  <si>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</si>
  <si>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</si>
  <si>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</si>
  <si>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</si>
  <si>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</si>
  <si>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</si>
  <si>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</si>
  <si>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</si>
  <si>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</si>
  <si>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</si>
  <si>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</si>
  <si>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</si>
  <si>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</si>
  <si>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</si>
  <si>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</si>
  <si>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</si>
  <si>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</si>
  <si>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</si>
  <si>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</si>
  <si>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</si>
  <si>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</si>
  <si>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</si>
  <si>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</si>
  <si>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</si>
  <si>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</si>
  <si>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</si>
  <si>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</si>
  <si>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</si>
  <si>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</si>
  <si>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</si>
  <si>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</si>
  <si>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</si>
  <si>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</si>
  <si>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</si>
  <si>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</si>
  <si>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</si>
  <si>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</si>
  <si>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</si>
  <si>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</si>
  <si>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</si>
  <si>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</si>
  <si>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</si>
  <si>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</si>
  <si>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</si>
  <si>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</si>
  <si>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</si>
  <si>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</si>
  <si>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</si>
  <si>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</si>
  <si>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</si>
  <si>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</si>
  <si>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</si>
  <si>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</si>
  <si>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</si>
  <si>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</si>
  <si>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</si>
  <si>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</si>
  <si>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</si>
  <si>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</si>
  <si>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</si>
  <si>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</si>
  <si>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</si>
  <si>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</si>
  <si>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</si>
  <si>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</si>
  <si>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</si>
  <si>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</si>
  <si>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</si>
  <si>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</si>
  <si>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</si>
  <si>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</si>
  <si>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</si>
  <si>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</si>
  <si>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</si>
  <si>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</si>
  <si>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</si>
  <si>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</si>
  <si>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</si>
  <si>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</si>
  <si>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</si>
  <si>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</si>
  <si>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</si>
  <si>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</si>
  <si>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</si>
  <si>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</si>
  <si>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</si>
  <si>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</si>
  <si>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</si>
  <si>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</si>
  <si>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</si>
  <si>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</si>
  <si>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</si>
  <si>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</si>
  <si>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</si>
  <si>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</si>
  <si>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</si>
  <si>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</si>
  <si>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</si>
  <si>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</si>
  <si>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</si>
  <si>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</si>
  <si>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</si>
  <si>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</si>
  <si>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</si>
  <si>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</si>
  <si>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</si>
  <si>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</si>
  <si>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</si>
  <si>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</si>
  <si>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</si>
  <si>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</si>
  <si>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</si>
  <si>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</si>
  <si>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</si>
  <si>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</si>
  <si>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</si>
  <si>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</si>
  <si>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</si>
  <si>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</si>
  <si>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</si>
  <si>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</si>
  <si>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</si>
  <si>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</si>
  <si>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</si>
  <si>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</si>
  <si>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</si>
  <si>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</si>
  <si>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</si>
  <si>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</si>
  <si>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</si>
  <si>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</si>
  <si>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</si>
  <si>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</si>
  <si>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</si>
  <si>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</si>
  <si>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</si>
  <si>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</si>
  <si>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</si>
  <si>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</si>
  <si>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</si>
  <si>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</si>
  <si>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</si>
  <si>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</si>
  <si>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</si>
  <si>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</si>
  <si>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</si>
  <si>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</si>
  <si>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</si>
  <si>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</si>
  <si>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</si>
  <si>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</si>
  <si>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</si>
  <si>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</si>
  <si>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</si>
  <si>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</si>
  <si>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</si>
  <si>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</si>
  <si>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</si>
  <si>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</si>
  <si>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</si>
  <si>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</si>
  <si>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</si>
  <si>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</si>
  <si>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</si>
  <si>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</si>
  <si>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</si>
  <si>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</si>
  <si>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</si>
  <si>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</si>
  <si>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</si>
  <si>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</si>
  <si>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</si>
  <si>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</si>
  <si>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</si>
  <si>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</si>
  <si>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</si>
  <si>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</si>
  <si>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</si>
  <si>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</si>
  <si>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</si>
  <si>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</si>
  <si>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</si>
  <si>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</si>
  <si>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</si>
  <si>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</si>
  <si>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</si>
  <si>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</si>
  <si>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</si>
  <si>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</si>
  <si>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</si>
  <si>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</si>
  <si>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</si>
  <si>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</si>
  <si>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</si>
  <si>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</si>
  <si>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</si>
  <si>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</si>
  <si>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</si>
  <si>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</si>
  <si>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</si>
  <si>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</si>
  <si>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</si>
  <si>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</si>
  <si>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</si>
  <si>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</si>
  <si>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</si>
  <si>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</si>
  <si>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</si>
  <si>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</si>
  <si>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</si>
  <si>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</si>
  <si>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</si>
  <si>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</si>
  <si>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</si>
  <si>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</si>
  <si>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</si>
  <si>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</si>
  <si>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</si>
  <si>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</si>
  <si>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</si>
  <si>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</si>
  <si>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</si>
  <si>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</si>
  <si>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</si>
  <si>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</si>
  <si>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</si>
  <si>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</si>
  <si>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</si>
  <si>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</si>
  <si>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</si>
  <si>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</si>
  <si>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</si>
  <si>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</si>
  <si>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</si>
  <si>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</si>
  <si>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</si>
  <si>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</si>
  <si>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</si>
  <si>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</si>
  <si>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</si>
  <si>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</si>
  <si>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</si>
  <si>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</si>
  <si>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</si>
  <si>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</si>
  <si>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</si>
  <si>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</si>
  <si>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</si>
  <si>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</si>
  <si>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</si>
  <si>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</si>
  <si>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</si>
  <si>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</si>
  <si>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</si>
  <si>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</si>
  <si>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</si>
  <si>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</si>
  <si>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</si>
  <si>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</si>
  <si>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</si>
  <si>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</si>
  <si>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</si>
  <si>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</si>
  <si>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</si>
  <si>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</si>
  <si>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</si>
  <si>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</si>
  <si>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</si>
  <si>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</si>
  <si>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</si>
  <si>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</si>
  <si>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</si>
  <si>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</si>
  <si>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</si>
  <si>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</si>
  <si>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</si>
  <si>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</si>
  <si>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</si>
  <si>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</si>
  <si>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</si>
  <si>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</si>
  <si>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</si>
  <si>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</si>
  <si>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</si>
  <si>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</si>
  <si>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</si>
  <si>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</si>
  <si>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</si>
  <si>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</si>
  <si>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</si>
  <si>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</si>
  <si>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</si>
  <si>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</si>
  <si>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</si>
  <si>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</si>
  <si>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</si>
  <si>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</si>
  <si>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</si>
  <si>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</si>
  <si>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</si>
  <si>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</si>
  <si>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</si>
  <si>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</si>
  <si>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</si>
  <si>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</si>
  <si>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</si>
  <si>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</si>
  <si>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</si>
  <si>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</si>
  <si>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</si>
  <si>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</si>
  <si>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</si>
  <si>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</si>
  <si>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</si>
  <si>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</si>
  <si>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</si>
  <si>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</si>
  <si>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</si>
  <si>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</si>
  <si>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</si>
  <si>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</si>
  <si>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</si>
  <si>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</si>
  <si>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</si>
  <si>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</si>
  <si>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</si>
  <si>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</si>
  <si>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</si>
  <si>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</si>
  <si>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</si>
  <si>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</si>
  <si>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</si>
  <si>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</si>
  <si>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</si>
  <si>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</si>
  <si>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</si>
  <si>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</si>
  <si>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</si>
  <si>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</si>
  <si>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</si>
  <si>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</si>
  <si>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</si>
  <si>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</si>
  <si>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</si>
  <si>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</si>
  <si>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</si>
  <si>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</si>
  <si>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</si>
  <si>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</si>
  <si>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</si>
  <si>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</si>
  <si>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</si>
  <si>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</si>
  <si>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</si>
  <si>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</si>
  <si>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</si>
  <si>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</si>
  <si>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</si>
  <si>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</si>
  <si>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</si>
  <si>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</si>
  <si>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</si>
  <si>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</si>
  <si>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</si>
  <si>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</si>
  <si>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</si>
  <si>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</si>
  <si>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</si>
  <si>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</si>
  <si>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</si>
  <si>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</si>
  <si>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</si>
  <si>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</si>
  <si>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</si>
  <si>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</si>
  <si>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</si>
  <si>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</si>
  <si>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</si>
  <si>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</si>
  <si>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</si>
  <si>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</si>
  <si>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</si>
  <si>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</si>
  <si>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</si>
  <si>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</si>
  <si>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</si>
  <si>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</si>
  <si>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</si>
  <si>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</si>
  <si>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</si>
  <si>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</si>
  <si>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</si>
  <si>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</si>
  <si>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</si>
  <si>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</si>
  <si>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</si>
  <si>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</si>
  <si>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</si>
  <si>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</si>
  <si>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</si>
  <si>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</si>
  <si>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</si>
  <si>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</si>
  <si>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</si>
  <si>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</si>
  <si>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</si>
  <si>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</si>
  <si>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</si>
  <si>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</si>
  <si>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</si>
  <si>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</si>
  <si>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</si>
  <si>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</si>
  <si>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</si>
  <si>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</si>
  <si>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</si>
  <si>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</si>
  <si>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</si>
  <si>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</si>
  <si>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</si>
  <si>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</si>
  <si>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</si>
  <si>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</si>
  <si>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</si>
  <si>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</si>
  <si>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</si>
  <si>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</si>
  <si>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</si>
  <si>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</si>
  <si>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</si>
  <si>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</si>
  <si>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</si>
  <si>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</si>
  <si>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</si>
  <si>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</si>
  <si>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</si>
  <si>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</si>
  <si>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</si>
  <si>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</si>
  <si>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</si>
  <si>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</si>
  <si>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</si>
  <si>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</si>
  <si>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</si>
  <si>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</si>
  <si>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</si>
  <si>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</si>
  <si>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</si>
  <si>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</si>
  <si>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</si>
  <si>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</si>
  <si>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</si>
  <si>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</si>
  <si>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</si>
  <si>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</si>
  <si>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</si>
  <si>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</si>
  <si>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</si>
  <si>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</si>
  <si>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</si>
  <si>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</si>
  <si>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</si>
  <si>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</si>
  <si>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</si>
  <si>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</si>
  <si>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</si>
  <si>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</si>
  <si>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</si>
  <si>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</si>
  <si>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</si>
  <si>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</si>
  <si>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</si>
  <si>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</si>
  <si>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</si>
  <si>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</si>
  <si>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</si>
  <si>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</si>
  <si>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</si>
  <si>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</si>
  <si>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</si>
  <si>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</si>
  <si>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</si>
  <si>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</si>
  <si>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</si>
  <si>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</si>
  <si>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</si>
  <si>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</si>
  <si>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</si>
  <si>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</si>
  <si>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</si>
  <si>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</si>
  <si>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</si>
  <si>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</si>
  <si>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</si>
  <si>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</si>
  <si>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</si>
  <si>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</si>
  <si>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</si>
  <si>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</si>
  <si>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</si>
  <si>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</si>
  <si>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</si>
  <si>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</si>
  <si>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</si>
  <si>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</si>
  <si>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</si>
  <si>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</si>
  <si>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</si>
  <si>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</si>
  <si>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</si>
  <si>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</si>
  <si>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</si>
  <si>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</si>
  <si>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</si>
  <si>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</si>
  <si>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</si>
  <si>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</si>
  <si>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</si>
  <si>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</si>
  <si>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</si>
  <si>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</si>
  <si>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</si>
  <si>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</si>
  <si>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</si>
  <si>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</si>
  <si>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</si>
  <si>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</si>
  <si>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</si>
  <si>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</si>
  <si>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</si>
  <si>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</si>
  <si>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</si>
  <si>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</si>
  <si>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</si>
  <si>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</si>
  <si>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</si>
  <si>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</si>
  <si>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</si>
  <si>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</si>
  <si>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</si>
  <si>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</si>
  <si>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</si>
  <si>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</si>
  <si>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</si>
  <si>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</si>
  <si>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</si>
  <si>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</si>
  <si>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</si>
  <si>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</si>
  <si>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</si>
  <si>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</si>
  <si>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</si>
  <si>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</si>
  <si>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</si>
  <si>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</si>
  <si>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</si>
  <si>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</si>
  <si>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</si>
  <si>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</si>
  <si>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</si>
  <si>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</si>
  <si>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</si>
  <si>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</si>
  <si>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</si>
  <si>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</si>
  <si>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</si>
  <si>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</si>
  <si>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</si>
  <si>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</si>
  <si>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</si>
  <si>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</si>
  <si>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</si>
  <si>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</si>
  <si>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</si>
  <si>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</si>
  <si>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</si>
  <si>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</si>
  <si>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</si>
  <si>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</si>
  <si>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</si>
  <si>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</si>
  <si>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</si>
  <si>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</si>
  <si>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</si>
  <si>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</si>
  <si>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</si>
  <si>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</si>
  <si>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</si>
  <si>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</si>
  <si>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</si>
  <si>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</si>
  <si>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</si>
  <si>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</si>
  <si>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</si>
  <si>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</si>
  <si>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</si>
  <si>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</si>
  <si>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</si>
  <si>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</si>
  <si>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</si>
  <si>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</si>
  <si>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</si>
  <si>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</si>
  <si>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</si>
  <si>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</si>
  <si>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</si>
  <si>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</si>
  <si>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</si>
  <si>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</si>
  <si>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</si>
  <si>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</si>
  <si>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</si>
  <si>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</si>
  <si>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</si>
  <si>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</si>
  <si>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</si>
  <si>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</si>
  <si>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</si>
  <si>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</si>
  <si>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</si>
  <si>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</si>
  <si>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</si>
  <si>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</si>
  <si>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</si>
  <si>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</si>
  <si>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</si>
  <si>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</si>
  <si>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</si>
  <si>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</si>
  <si>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</si>
  <si>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</si>
  <si>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</si>
  <si>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</si>
  <si>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</si>
  <si>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</si>
  <si>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</si>
  <si>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</si>
  <si>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</si>
  <si>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</si>
  <si>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</si>
  <si>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</si>
  <si>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</si>
  <si>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</si>
  <si>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</si>
  <si>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</si>
  <si>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</si>
  <si>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</si>
  <si>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</si>
  <si>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</si>
  <si>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</si>
  <si>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</si>
  <si>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</si>
  <si>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</si>
  <si>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</si>
  <si>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</si>
  <si>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</si>
  <si>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</si>
  <si>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</si>
  <si>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</si>
  <si>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</si>
  <si>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</si>
  <si>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</si>
  <si>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</si>
  <si>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</si>
  <si>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</si>
  <si>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</si>
  <si>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</si>
  <si>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</si>
  <si>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</si>
  <si>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</si>
  <si>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</si>
  <si>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</si>
  <si>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</si>
  <si>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</si>
  <si>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</si>
  <si>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</si>
  <si>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</si>
  <si>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</si>
  <si>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</si>
  <si>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</si>
  <si>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</si>
  <si>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</si>
  <si>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</si>
  <si>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</si>
  <si>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</si>
  <si>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</si>
  <si>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</si>
  <si>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</si>
  <si>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</si>
  <si>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</si>
  <si>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</si>
  <si>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</si>
  <si>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</si>
  <si>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</si>
  <si>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</si>
  <si>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</si>
  <si>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</si>
  <si>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</si>
  <si>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</si>
  <si>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</si>
  <si>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</si>
  <si>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</si>
  <si>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</si>
  <si>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</si>
  <si>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</si>
  <si>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</si>
  <si>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</si>
  <si>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</si>
  <si>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</si>
  <si>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</si>
  <si>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</si>
  <si>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</si>
  <si>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</si>
  <si>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</si>
  <si>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</si>
  <si>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</si>
  <si>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</si>
  <si>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</si>
  <si>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</si>
  <si>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</si>
  <si>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</si>
  <si>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</si>
  <si>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</si>
  <si>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</si>
  <si>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</si>
  <si>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</si>
  <si>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</si>
  <si>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</si>
  <si>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</si>
  <si>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</si>
  <si>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</si>
  <si>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</si>
  <si>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</si>
  <si>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</si>
  <si>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</si>
  <si>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</si>
  <si>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</si>
  <si>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</si>
  <si>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</si>
  <si>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</si>
  <si>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</si>
  <si>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</si>
  <si>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</si>
  <si>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</si>
  <si>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</si>
  <si>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</si>
  <si>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</si>
  <si>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</si>
  <si>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</si>
  <si>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</si>
  <si>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</si>
  <si>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</si>
  <si>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</si>
  <si>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</si>
  <si>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</si>
  <si>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</si>
  <si>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</si>
  <si>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</si>
  <si>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</si>
  <si>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</si>
  <si>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</si>
  <si>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</si>
  <si>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</si>
  <si>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</si>
  <si>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</si>
  <si>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</si>
  <si>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</si>
  <si>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</si>
  <si>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</si>
  <si>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</si>
  <si>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</si>
  <si>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</si>
  <si>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</si>
  <si>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</si>
  <si>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</si>
  <si>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</si>
  <si>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</si>
  <si>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</si>
  <si>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</si>
  <si>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</si>
  <si>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</si>
  <si>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</si>
  <si>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</si>
  <si>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</si>
  <si>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</si>
  <si>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</si>
  <si>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</si>
  <si>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</si>
  <si>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</si>
  <si>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</si>
  <si>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</si>
  <si>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</si>
  <si>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</si>
  <si>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</si>
  <si>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</si>
  <si>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</si>
  <si>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</si>
  <si>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</si>
  <si>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</si>
  <si>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</si>
  <si>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</si>
  <si>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</si>
  <si>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</si>
  <si>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</si>
  <si>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</si>
  <si>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</si>
  <si>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</si>
  <si>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</si>
  <si>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</si>
  <si>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</si>
  <si>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</si>
  <si>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</si>
  <si>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</si>
  <si>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</si>
  <si>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</si>
  <si>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</si>
  <si>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</si>
  <si>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</si>
  <si>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</si>
  <si>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</si>
  <si>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</si>
  <si>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</si>
  <si>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</si>
  <si>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</si>
  <si>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</si>
  <si>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</si>
  <si>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</si>
  <si>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</si>
  <si>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</si>
  <si>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</si>
  <si>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</si>
  <si>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</si>
  <si>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</si>
  <si>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</si>
  <si>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</si>
  <si>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</si>
  <si>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</si>
  <si>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</si>
  <si>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</si>
  <si>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</si>
  <si>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</si>
  <si>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</si>
  <si>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</si>
  <si>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</si>
  <si>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</si>
  <si>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</si>
  <si>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</si>
  <si>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</si>
  <si>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</si>
  <si>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</si>
  <si>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</si>
  <si>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</si>
  <si>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</si>
  <si>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</si>
  <si>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</si>
  <si>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</si>
  <si>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</si>
  <si>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</si>
  <si>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</si>
  <si>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</si>
  <si>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</si>
  <si>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</si>
  <si>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</si>
  <si>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</si>
  <si>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</si>
  <si>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</si>
  <si>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</si>
  <si>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</si>
  <si>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</si>
  <si>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</si>
  <si>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</si>
  <si>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</si>
  <si>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</si>
  <si>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</si>
  <si>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</si>
  <si>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</si>
  <si>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</si>
  <si>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</si>
  <si>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</si>
  <si>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</si>
  <si>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</si>
  <si>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</si>
  <si>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</si>
  <si>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</si>
  <si>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</si>
  <si>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</si>
  <si>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</si>
  <si>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</si>
  <si>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</si>
  <si>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</si>
  <si>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</si>
  <si>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</si>
  <si>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</si>
  <si>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</si>
  <si>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</si>
  <si>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</si>
  <si>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</si>
  <si>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</si>
  <si>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</si>
  <si>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</si>
  <si>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</si>
  <si>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</si>
  <si>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</si>
  <si>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</si>
  <si>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</si>
  <si>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</si>
  <si>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</si>
  <si>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</si>
  <si>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</si>
  <si>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</si>
  <si>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</si>
  <si>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</si>
  <si>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</si>
  <si>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</si>
  <si>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</si>
  <si>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</si>
  <si>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</si>
  <si>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</si>
  <si>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</si>
  <si>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</si>
  <si>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</si>
  <si>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</si>
  <si>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</si>
  <si>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</si>
  <si>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</si>
  <si>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</si>
  <si>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</si>
  <si>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</si>
  <si>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</si>
  <si>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</si>
  <si>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</si>
  <si>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</si>
  <si>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</si>
  <si>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</si>
  <si>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</si>
  <si>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</si>
  <si>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</si>
  <si>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</si>
  <si>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</si>
  <si>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</si>
  <si>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</si>
  <si>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</si>
  <si>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</si>
  <si>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</si>
  <si>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</si>
  <si>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</si>
  <si>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</si>
  <si>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</si>
  <si>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</si>
  <si>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</si>
  <si>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</si>
  <si>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</si>
  <si>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</si>
  <si>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</si>
  <si>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</si>
  <si>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</si>
  <si>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</si>
  <si>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</si>
  <si>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</si>
  <si>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</si>
  <si>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</si>
  <si>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</si>
  <si>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</si>
  <si>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</si>
  <si>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</si>
  <si>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</si>
  <si>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</si>
  <si>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</si>
  <si>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</si>
  <si>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</si>
  <si>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</si>
  <si>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</si>
  <si>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</si>
  <si>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</si>
  <si>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</si>
  <si>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</si>
  <si>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</si>
  <si>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</si>
  <si>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</si>
  <si>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</si>
  <si>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</si>
  <si>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</si>
  <si>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</si>
  <si>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</si>
  <si>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</si>
  <si>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</si>
  <si>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</si>
  <si>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</si>
  <si>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</si>
  <si>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</si>
  <si>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</si>
  <si>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</si>
  <si>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</si>
  <si>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</si>
  <si>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</si>
  <si>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</si>
  <si>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</si>
  <si>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</si>
  <si>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</si>
  <si>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</si>
  <si>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</si>
  <si>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</si>
  <si>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</si>
  <si>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</si>
  <si>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</si>
  <si>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</si>
  <si>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</si>
  <si>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</si>
  <si>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</si>
  <si>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</si>
  <si>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</si>
  <si>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</si>
  <si>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</si>
  <si>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</si>
  <si>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</si>
  <si>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</si>
  <si>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</si>
  <si>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</si>
  <si>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</si>
  <si>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</si>
  <si>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</si>
  <si>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</si>
  <si>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</si>
  <si>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</si>
  <si>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</si>
  <si>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</si>
  <si>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</si>
  <si>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</si>
  <si>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</si>
  <si>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</si>
  <si>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</si>
  <si>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</si>
  <si>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</si>
  <si>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</si>
  <si>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</si>
  <si>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</si>
  <si>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</si>
  <si>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</si>
  <si>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</si>
  <si>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</si>
  <si>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</si>
  <si>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</si>
  <si>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</si>
  <si>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</si>
  <si>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</si>
  <si>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</si>
  <si>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</si>
  <si>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</si>
  <si>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</si>
  <si>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</si>
  <si>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</si>
  <si>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</si>
  <si>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</si>
  <si>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</si>
  <si>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</si>
  <si>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</si>
  <si>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</si>
  <si>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</si>
  <si>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</si>
  <si>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</si>
  <si>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</si>
  <si>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</si>
  <si>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</si>
  <si>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</si>
  <si>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</si>
  <si>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</si>
  <si>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</si>
  <si>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</si>
  <si>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</si>
  <si>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</si>
  <si>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</si>
  <si>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</si>
  <si>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</si>
  <si>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</si>
  <si>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</si>
  <si>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</si>
  <si>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</si>
  <si>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</si>
  <si>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</si>
  <si>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</si>
  <si>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</si>
  <si>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</si>
  <si>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</si>
  <si>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</si>
  <si>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</si>
  <si>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</si>
  <si>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</si>
  <si>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</si>
  <si>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</si>
  <si>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</si>
  <si>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</si>
  <si>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</si>
  <si>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</si>
  <si>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</si>
  <si>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</si>
  <si>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</si>
  <si>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</si>
  <si>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</si>
  <si>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</si>
  <si>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</si>
  <si>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</si>
  <si>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</si>
  <si>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</si>
  <si>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</si>
  <si>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</si>
  <si>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</si>
  <si>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</si>
  <si>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</si>
  <si>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</si>
  <si>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</si>
  <si>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</si>
  <si>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</si>
  <si>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</si>
  <si>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</si>
  <si>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</si>
  <si>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</si>
  <si>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</si>
  <si>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</si>
  <si>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</si>
  <si>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</si>
  <si>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</si>
  <si>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</si>
  <si>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</si>
  <si>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</si>
  <si>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</si>
  <si>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</si>
  <si>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</si>
  <si>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</si>
  <si>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</si>
  <si>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</si>
  <si>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</si>
  <si>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</si>
  <si>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</si>
  <si>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</si>
  <si>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</si>
  <si>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</si>
  <si>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</si>
  <si>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</si>
  <si>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</si>
  <si>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</si>
  <si>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</si>
  <si>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</si>
  <si>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</si>
  <si>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</si>
  <si>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</si>
  <si>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</si>
  <si>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</si>
  <si>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</si>
  <si>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</si>
  <si>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</si>
  <si>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</si>
  <si>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</si>
  <si>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</si>
  <si>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</si>
  <si>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</si>
  <si>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</si>
  <si>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</si>
  <si>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</si>
  <si>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</si>
  <si>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</si>
  <si>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</si>
  <si>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</si>
  <si>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</si>
  <si>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</si>
  <si>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</si>
  <si>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</si>
  <si>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</si>
  <si>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</si>
  <si>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</si>
  <si>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</si>
  <si>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</si>
  <si>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</si>
  <si>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</si>
  <si>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</si>
  <si>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</si>
  <si>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</si>
  <si>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</si>
  <si>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</si>
  <si>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</si>
  <si>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</si>
  <si>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</si>
  <si>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</si>
  <si>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</si>
  <si>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</si>
  <si>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</si>
  <si>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</si>
  <si>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</si>
  <si>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</si>
  <si>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</si>
  <si>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</si>
  <si>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</si>
  <si>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</si>
  <si>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</si>
  <si>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</si>
  <si>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</si>
  <si>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</si>
  <si>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</si>
  <si>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</si>
  <si>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</si>
  <si>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</si>
  <si>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</si>
  <si>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</si>
  <si>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</si>
  <si>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</si>
  <si>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</si>
  <si>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</si>
  <si>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</si>
  <si>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</si>
  <si>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</si>
  <si>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</si>
  <si>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</si>
  <si>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</si>
  <si>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</si>
  <si>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</si>
  <si>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</si>
  <si>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</si>
  <si>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</si>
  <si>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</si>
  <si>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</si>
  <si>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</si>
  <si>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</si>
  <si>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</si>
  <si>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</si>
  <si>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</si>
  <si>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</si>
  <si>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</si>
  <si>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</si>
  <si>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</si>
  <si>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</si>
  <si>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</si>
  <si>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</si>
  <si>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</si>
  <si>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</si>
  <si>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</si>
  <si>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</si>
  <si>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</si>
  <si>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</si>
  <si>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</si>
  <si>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</si>
  <si>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</si>
  <si>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</si>
  <si>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</si>
  <si>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</si>
  <si>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</si>
  <si>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</si>
  <si>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</si>
  <si>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</si>
  <si>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</si>
  <si>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</si>
  <si>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</si>
  <si>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</si>
  <si>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</si>
  <si>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</si>
  <si>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</si>
  <si>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</si>
  <si>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</si>
  <si>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</si>
  <si>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</si>
  <si>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</si>
  <si>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</si>
  <si>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</si>
  <si>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</si>
  <si>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</si>
  <si>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</si>
  <si>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</si>
  <si>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</si>
  <si>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</si>
  <si>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</si>
  <si>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</si>
  <si>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</si>
  <si>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</si>
  <si>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</si>
  <si>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</si>
  <si>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</si>
  <si>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</si>
  <si>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</si>
  <si>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</si>
  <si>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</si>
  <si>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</si>
  <si>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</si>
  <si>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</si>
  <si>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</si>
  <si>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</si>
  <si>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</si>
  <si>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</si>
  <si>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</si>
  <si>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</si>
  <si>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</si>
  <si>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</si>
  <si>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</si>
  <si>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</si>
  <si>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</si>
  <si>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</si>
  <si>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</si>
  <si>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</si>
  <si>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</si>
  <si>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</si>
  <si>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</si>
  <si>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</si>
  <si>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</si>
  <si>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</si>
  <si>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</si>
  <si>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</si>
  <si>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</si>
  <si>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</si>
  <si>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</si>
  <si>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</si>
  <si>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</si>
  <si>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</si>
  <si>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</si>
  <si>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</si>
  <si>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</si>
  <si>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</si>
  <si>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</si>
  <si>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</si>
  <si>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</si>
  <si>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</si>
  <si>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</si>
  <si>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</si>
  <si>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</si>
  <si>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</si>
  <si>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</si>
  <si>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</si>
  <si>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</si>
  <si>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</si>
  <si>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</si>
  <si>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</si>
  <si>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</si>
  <si>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</si>
  <si>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</si>
  <si>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</si>
  <si>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</si>
  <si>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</si>
  <si>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</si>
  <si>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</si>
  <si>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</si>
  <si>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</si>
  <si>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</si>
  <si>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</si>
  <si>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</si>
  <si>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</si>
  <si>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</si>
  <si>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</si>
  <si>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</si>
  <si>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</si>
  <si>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</si>
  <si>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</si>
  <si>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</si>
  <si>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</si>
  <si>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</si>
  <si>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</si>
  <si>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</si>
  <si>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</si>
  <si>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</si>
  <si>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</si>
  <si>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</si>
  <si>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</si>
  <si>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</si>
  <si>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</si>
  <si>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</si>
  <si>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</si>
  <si>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</si>
  <si>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</si>
  <si>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</si>
  <si>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</si>
  <si>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</si>
  <si>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</si>
  <si>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</si>
  <si>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</si>
  <si>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</si>
  <si>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</si>
  <si>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</si>
  <si>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</si>
  <si>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</si>
  <si>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</si>
  <si>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</si>
  <si>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</si>
  <si>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</si>
  <si>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</si>
  <si>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</si>
  <si>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</si>
  <si>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</si>
  <si>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</si>
  <si>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</si>
  <si>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</si>
  <si>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</si>
  <si>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</si>
  <si>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</si>
  <si>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</si>
  <si>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</si>
  <si>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</si>
  <si>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</si>
  <si>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</si>
  <si>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</si>
  <si>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</si>
  <si>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</si>
  <si>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</si>
  <si>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</si>
  <si>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</si>
  <si>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</si>
  <si>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</si>
  <si>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</si>
  <si>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</si>
  <si>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</si>
  <si>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</si>
  <si>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</si>
  <si>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</si>
  <si>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</si>
  <si>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</si>
  <si>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</si>
  <si>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</si>
  <si>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</si>
  <si>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</si>
  <si>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</si>
  <si>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</si>
  <si>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</si>
  <si>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</si>
  <si>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</si>
  <si>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</si>
  <si>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</si>
  <si>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</si>
  <si>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</si>
  <si>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</si>
  <si>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</si>
  <si>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</si>
  <si>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</si>
  <si>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</si>
  <si>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</si>
  <si>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</si>
  <si>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</si>
  <si>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</si>
  <si>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</si>
  <si>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</si>
  <si>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</si>
  <si>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</si>
  <si>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</si>
  <si>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</si>
  <si>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</si>
  <si>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</si>
  <si>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</si>
  <si>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</si>
  <si>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</si>
  <si>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</si>
  <si>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</si>
  <si>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</si>
  <si>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</si>
  <si>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</si>
  <si>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</si>
  <si>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</si>
  <si>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</si>
  <si>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</si>
  <si>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</si>
  <si>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</si>
  <si>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</si>
  <si>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</si>
  <si>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</si>
  <si>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</si>
  <si>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</si>
  <si>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</si>
  <si>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</si>
  <si>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</si>
  <si>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</si>
  <si>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</si>
  <si>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</si>
  <si>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</si>
  <si>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</si>
  <si>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</si>
  <si>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</si>
  <si>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</si>
  <si>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</si>
  <si>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</si>
  <si>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</si>
  <si>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</si>
  <si>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</si>
  <si>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</si>
  <si>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</si>
  <si>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</si>
  <si>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</si>
  <si>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</si>
  <si>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</si>
  <si>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</si>
  <si>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</si>
  <si>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</si>
  <si>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</si>
  <si>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</si>
  <si>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</si>
  <si>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</si>
  <si>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</si>
  <si>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</si>
  <si>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</si>
  <si>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</si>
  <si>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</si>
  <si>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</si>
  <si>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</si>
  <si>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</si>
  <si>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</si>
  <si>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</si>
  <si>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</si>
  <si>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</si>
  <si>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</si>
  <si>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</si>
  <si>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</si>
  <si>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</si>
  <si>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</si>
  <si>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</si>
  <si>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</si>
  <si>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</si>
  <si>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</si>
  <si>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</si>
  <si>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</si>
  <si>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</si>
  <si>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</si>
  <si>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</si>
  <si>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</si>
  <si>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</si>
  <si>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</si>
  <si>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</si>
  <si>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</si>
  <si>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</si>
  <si>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</si>
  <si>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</si>
  <si>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</si>
  <si>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</si>
  <si>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</si>
  <si>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</si>
  <si>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</si>
  <si>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</si>
  <si>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</si>
  <si>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</si>
  <si>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</si>
  <si>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</si>
  <si>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</si>
  <si>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</si>
  <si>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</si>
  <si>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</si>
  <si>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</si>
  <si>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</si>
  <si>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</si>
  <si>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</si>
  <si>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</si>
  <si>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</si>
  <si>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</si>
  <si>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</si>
  <si>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</si>
  <si>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</si>
  <si>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</si>
  <si>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</si>
  <si>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</si>
  <si>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</si>
  <si>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</si>
  <si>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</si>
  <si>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</si>
  <si>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</si>
  <si>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</si>
  <si>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</si>
  <si>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</si>
  <si>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</si>
  <si>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</si>
  <si>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</si>
  <si>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</si>
  <si>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</si>
  <si>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</si>
  <si>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</si>
  <si>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</si>
  <si>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</si>
  <si>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</si>
  <si>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</si>
  <si>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</si>
  <si>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</si>
  <si>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</si>
  <si>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</si>
  <si>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</si>
  <si>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</si>
  <si>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</si>
  <si>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</si>
  <si>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</si>
  <si>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</si>
  <si>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</si>
  <si>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</si>
  <si>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</si>
  <si>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</si>
  <si>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</si>
  <si>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</si>
  <si>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</si>
  <si>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</si>
  <si>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</si>
  <si>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</si>
  <si>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</si>
  <si>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</si>
  <si>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</si>
  <si>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</si>
  <si>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</si>
  <si>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</si>
  <si>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</si>
  <si>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</si>
  <si>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</si>
  <si>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</si>
  <si>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</si>
  <si>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</si>
  <si>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</si>
  <si>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</si>
  <si>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</si>
  <si>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</si>
  <si>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</si>
  <si>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</si>
  <si>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</si>
  <si>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</si>
  <si>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</si>
  <si>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</si>
  <si>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</si>
  <si>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</si>
  <si>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</si>
  <si>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</si>
  <si>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</si>
  <si>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</si>
  <si>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</si>
  <si>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</si>
  <si>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</si>
  <si>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</si>
  <si>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</si>
  <si>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</si>
  <si>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</si>
  <si>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</si>
  <si>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</si>
  <si>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</si>
  <si>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</si>
  <si>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</si>
  <si>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</si>
  <si>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</si>
  <si>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</si>
  <si>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</si>
  <si>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</si>
  <si>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</si>
  <si>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</si>
  <si>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</si>
  <si>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</si>
  <si>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</si>
  <si>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</si>
  <si>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</si>
  <si>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</si>
  <si>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</si>
  <si>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</si>
  <si>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</si>
  <si>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</si>
  <si>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</si>
  <si>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</si>
  <si>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</si>
  <si>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</si>
  <si>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</si>
  <si>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</si>
  <si>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</si>
  <si>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</si>
  <si>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</si>
  <si>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</si>
  <si>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</si>
  <si>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</si>
  <si>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</si>
  <si>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</si>
  <si>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</si>
  <si>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</si>
  <si>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</si>
  <si>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</si>
  <si>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</si>
  <si>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</si>
  <si>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</si>
  <si>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</si>
  <si>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</si>
  <si>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</si>
  <si>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</si>
  <si>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</si>
  <si>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</si>
  <si>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</si>
  <si>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</si>
  <si>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</si>
  <si>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</si>
  <si>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</si>
  <si>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</si>
  <si>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</si>
  <si>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</si>
  <si>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</si>
  <si>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</si>
  <si>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</si>
  <si>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</si>
  <si>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</si>
  <si>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</si>
  <si>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</si>
  <si>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</si>
  <si>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</si>
  <si>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</si>
  <si>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</si>
  <si>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</si>
  <si>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</si>
  <si>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</si>
  <si>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</si>
  <si>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</si>
  <si>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</si>
  <si>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</si>
  <si>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</si>
  <si>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</si>
  <si>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</si>
  <si>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</si>
  <si>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</si>
  <si>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</si>
  <si>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</si>
  <si>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</si>
  <si>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</si>
  <si>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</si>
  <si>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</si>
  <si>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</si>
  <si>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</si>
  <si>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</si>
  <si>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</si>
  <si>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</si>
  <si>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</si>
  <si>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</si>
  <si>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</si>
  <si>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</si>
  <si>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</si>
  <si>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</si>
  <si>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</si>
  <si>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</si>
  <si>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</si>
  <si>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</si>
  <si>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</si>
  <si>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</si>
  <si>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</si>
  <si>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</si>
  <si>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</si>
  <si>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</si>
  <si>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</si>
  <si>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</si>
  <si>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</si>
  <si>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</si>
  <si>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</si>
  <si>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</si>
  <si>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</si>
  <si>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</si>
  <si>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</si>
  <si>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</si>
  <si>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</si>
  <si>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</si>
  <si>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</si>
  <si>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</si>
  <si>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</si>
  <si>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</si>
  <si>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</si>
  <si>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</si>
  <si>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</si>
  <si>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</si>
  <si>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</si>
  <si>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</si>
  <si>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</si>
  <si>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</si>
  <si>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</si>
  <si>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</si>
  <si>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</si>
  <si>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</si>
  <si>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</si>
  <si>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</si>
  <si>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</si>
  <si>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</si>
  <si>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</si>
  <si>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</si>
  <si>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</si>
  <si>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</si>
  <si>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</si>
  <si>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</si>
  <si>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</si>
  <si>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</si>
  <si>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</si>
  <si>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</si>
  <si>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</si>
  <si>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</si>
  <si>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</si>
  <si>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</si>
  <si>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</si>
  <si>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</si>
  <si>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</si>
  <si>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</si>
  <si>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</si>
  <si>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</si>
  <si>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</si>
  <si>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</si>
  <si>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</si>
  <si>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</si>
  <si>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</si>
  <si>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</si>
  <si>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</si>
  <si>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</si>
  <si>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</si>
  <si>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</si>
  <si>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</si>
  <si>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</si>
  <si>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</si>
  <si>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</si>
  <si>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</si>
  <si>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</si>
  <si>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</si>
  <si>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</si>
  <si>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</si>
  <si>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</si>
  <si>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</si>
  <si>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</si>
  <si>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</si>
  <si>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</si>
  <si>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</si>
  <si>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</si>
  <si>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</si>
  <si>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</si>
  <si>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</si>
  <si>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</si>
  <si>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</si>
  <si>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</si>
  <si>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</si>
  <si>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</si>
  <si>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</si>
  <si>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</si>
  <si>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</si>
  <si>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</si>
  <si>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</si>
  <si>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</si>
  <si>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</si>
  <si>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</si>
  <si>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</si>
  <si>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</si>
  <si>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</si>
  <si>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</si>
  <si>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</si>
  <si>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</si>
  <si>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</si>
  <si>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</si>
  <si>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</si>
  <si>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</si>
  <si>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</si>
  <si>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</si>
  <si>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</si>
  <si>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</si>
  <si>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</si>
  <si>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</si>
  <si>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</si>
  <si>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</si>
  <si>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</si>
  <si>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</si>
  <si>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</si>
  <si>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</si>
  <si>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</si>
  <si>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</si>
  <si>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</si>
  <si>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</si>
  <si>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</si>
  <si>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</si>
  <si>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</si>
  <si>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</si>
  <si>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</si>
  <si>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</si>
  <si>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</si>
  <si>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</si>
  <si>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</si>
  <si>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</si>
  <si>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</si>
  <si>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</si>
  <si>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</si>
  <si>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</si>
  <si>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</si>
  <si>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</si>
  <si>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</si>
  <si>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</si>
  <si>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</si>
  <si>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</si>
  <si>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</si>
  <si>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</si>
  <si>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</si>
  <si>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</si>
  <si>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</si>
  <si>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</si>
  <si>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</si>
  <si>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</si>
  <si>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</si>
  <si>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</si>
  <si>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</si>
  <si>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</si>
  <si>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</si>
  <si>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</si>
  <si>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</si>
  <si>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</si>
  <si>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</si>
  <si>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</si>
  <si>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</si>
  <si>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</si>
  <si>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</si>
  <si>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</si>
  <si>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</si>
  <si>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</si>
  <si>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</si>
  <si>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</si>
  <si>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</si>
  <si>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</si>
  <si>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</si>
  <si>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</si>
  <si>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</si>
  <si>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</si>
  <si>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</si>
  <si>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</si>
  <si>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</si>
  <si>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</si>
  <si>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</si>
  <si>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</si>
  <si>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</si>
  <si>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</si>
  <si>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</si>
  <si>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</si>
  <si>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</si>
  <si>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</si>
  <si>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</si>
  <si>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</si>
  <si>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</si>
  <si>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</si>
  <si>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</si>
  <si>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</si>
  <si>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</si>
  <si>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</si>
  <si>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</si>
  <si>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</si>
  <si>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</si>
  <si>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</si>
  <si>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</si>
  <si>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</si>
  <si>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</si>
  <si>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</si>
  <si>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</si>
  <si>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</si>
  <si>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</si>
  <si>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</si>
  <si>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</si>
  <si>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</si>
  <si>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</si>
  <si>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</si>
  <si>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</si>
  <si>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</si>
  <si>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</si>
  <si>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</si>
  <si>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</si>
  <si>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</si>
  <si>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</si>
  <si>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</si>
  <si>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</si>
  <si>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</si>
  <si>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</si>
  <si>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</si>
  <si>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</si>
  <si>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</si>
  <si>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</si>
  <si>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</si>
  <si>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</si>
  <si>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</si>
  <si>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</si>
  <si>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</si>
  <si>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</si>
  <si>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</si>
  <si>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</si>
  <si>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</si>
  <si>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</si>
  <si>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</si>
  <si>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</si>
  <si>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</si>
  <si>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</si>
  <si>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</si>
  <si>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</si>
  <si>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</si>
  <si>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</si>
  <si>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</si>
  <si>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</si>
  <si>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</si>
  <si>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</si>
  <si>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</si>
  <si>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</si>
  <si>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</si>
  <si>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</si>
  <si>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</si>
  <si>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</si>
  <si>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</si>
  <si>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</si>
  <si>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</si>
  <si>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</si>
  <si>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</si>
  <si>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</si>
  <si>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</si>
  <si>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</si>
  <si>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</si>
  <si>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</si>
  <si>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</si>
  <si>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</si>
  <si>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</si>
  <si>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</si>
  <si>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</si>
  <si>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</si>
  <si>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</si>
  <si>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</si>
  <si>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</si>
  <si>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</si>
  <si>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</si>
  <si>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</si>
  <si>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</si>
  <si>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</si>
  <si>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</si>
  <si>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</si>
  <si>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</si>
  <si>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</si>
  <si>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</si>
  <si>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</si>
  <si>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</si>
  <si>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</si>
  <si>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</si>
  <si>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</si>
  <si>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</si>
  <si>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</si>
  <si>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</si>
  <si>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</si>
  <si>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</si>
  <si>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</si>
  <si>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</si>
  <si>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</si>
  <si>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</si>
  <si>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</si>
  <si>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</si>
  <si>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</si>
  <si>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</si>
  <si>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</si>
  <si>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</si>
  <si>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</si>
  <si>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</si>
  <si>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</si>
  <si>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</si>
  <si>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</si>
  <si>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</si>
  <si>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</si>
  <si>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</si>
  <si>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</si>
  <si>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</si>
  <si>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</si>
  <si>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</si>
  <si>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</si>
  <si>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</si>
  <si>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</si>
  <si>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</si>
  <si>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</si>
  <si>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</si>
  <si>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</si>
  <si>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</si>
  <si>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</si>
  <si>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</si>
  <si>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</si>
  <si>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</si>
  <si>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</si>
  <si>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</si>
  <si>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</si>
  <si>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</si>
  <si>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</si>
  <si>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</si>
  <si>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</si>
  <si>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</si>
  <si>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</si>
  <si>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</si>
  <si>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</si>
  <si>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</si>
  <si>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</si>
  <si>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</si>
  <si>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</si>
  <si>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</si>
  <si>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</si>
  <si>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</si>
  <si>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</si>
  <si>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</si>
  <si>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</si>
  <si>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</si>
  <si>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</si>
  <si>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</si>
  <si>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</si>
  <si>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</si>
  <si>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</si>
  <si>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</si>
  <si>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</si>
  <si>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</si>
  <si>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</si>
  <si>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</si>
  <si>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</si>
  <si>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</si>
  <si>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</si>
  <si>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</si>
  <si>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</si>
  <si>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</si>
  <si>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</si>
  <si>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</si>
  <si>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</si>
  <si>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</si>
  <si>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</si>
  <si>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</si>
  <si>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</si>
  <si>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</si>
  <si>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</si>
  <si>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</si>
  <si>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</si>
  <si>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</si>
  <si>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</si>
  <si>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</si>
  <si>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</si>
  <si>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</si>
  <si>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</si>
  <si>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</si>
  <si>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</si>
  <si>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</si>
  <si>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</si>
  <si>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</si>
  <si>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</si>
  <si>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</si>
  <si>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</si>
  <si>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</si>
  <si>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</si>
  <si>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</si>
  <si>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</si>
  <si>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</si>
  <si>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</si>
  <si>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</si>
  <si>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</si>
  <si>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</si>
  <si>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</si>
  <si>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</si>
  <si>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</si>
  <si>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</si>
  <si>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</si>
  <si>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</si>
  <si>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</si>
  <si>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</si>
  <si>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</si>
  <si>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</si>
  <si>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</si>
  <si>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</si>
  <si>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</si>
  <si>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</si>
  <si>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</si>
  <si>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</si>
  <si>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</si>
  <si>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</si>
  <si>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</si>
  <si>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</si>
  <si>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</si>
  <si>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</si>
  <si>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</si>
  <si>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</si>
  <si>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</si>
  <si>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</si>
  <si>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</si>
  <si>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</si>
  <si>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</si>
  <si>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</si>
  <si>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</si>
  <si>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</si>
  <si>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</si>
  <si>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</si>
  <si>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</si>
  <si>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</si>
  <si>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</si>
  <si>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</si>
  <si>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</si>
  <si>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</si>
  <si>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</si>
  <si>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</si>
  <si>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</si>
  <si>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</si>
  <si>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</si>
  <si>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</si>
  <si>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</si>
  <si>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</si>
  <si>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</si>
  <si>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</si>
  <si>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</si>
  <si>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</si>
  <si>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</si>
  <si>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</si>
  <si>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</si>
  <si>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</si>
  <si>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</si>
  <si>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</si>
  <si>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</si>
  <si>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</si>
  <si>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</si>
  <si>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</si>
  <si>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</si>
  <si>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</si>
  <si>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</si>
  <si>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</si>
  <si>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</si>
  <si>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</si>
  <si>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</si>
  <si>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</si>
  <si>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</si>
  <si>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</si>
  <si>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</si>
  <si>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</si>
  <si>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</si>
  <si>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</si>
  <si>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</si>
  <si>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</si>
  <si>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</si>
  <si>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</si>
  <si>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</si>
  <si>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</si>
  <si>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</si>
  <si>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</si>
  <si>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</si>
  <si>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</si>
  <si>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</si>
  <si>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</si>
  <si>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</si>
  <si>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</si>
  <si>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</si>
  <si>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</si>
  <si>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</si>
  <si>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</si>
  <si>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</si>
  <si>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</si>
  <si>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</si>
  <si>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</si>
  <si>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</si>
  <si>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</si>
  <si>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</si>
  <si>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</si>
  <si>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</si>
  <si>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</si>
  <si>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</si>
  <si>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</si>
  <si>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</si>
  <si>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</si>
  <si>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</si>
  <si>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</si>
  <si>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</si>
  <si>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</si>
  <si>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</si>
  <si>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</si>
  <si>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</si>
  <si>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</si>
  <si>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</si>
  <si>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</si>
  <si>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</si>
  <si>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</si>
  <si>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</si>
  <si>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</si>
  <si>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</si>
  <si>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</si>
  <si>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</si>
  <si>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</si>
  <si>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</si>
  <si>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</si>
  <si>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</si>
  <si>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</si>
  <si>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</si>
  <si>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</si>
  <si>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</si>
  <si>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</si>
  <si>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</si>
  <si>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</si>
  <si>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</si>
  <si>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</si>
  <si>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</si>
  <si>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</si>
  <si>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</si>
  <si>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</si>
  <si>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</si>
  <si>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</si>
  <si>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</si>
  <si>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</si>
  <si>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</si>
  <si>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</si>
  <si>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</si>
  <si>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</si>
  <si>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</si>
  <si>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</si>
  <si>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</si>
  <si>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</si>
  <si>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</si>
  <si>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</si>
  <si>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</si>
  <si>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</si>
  <si>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</si>
  <si>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</si>
  <si>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</si>
  <si>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</si>
  <si>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</si>
  <si>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</si>
  <si>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</si>
  <si>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</si>
  <si>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</si>
  <si>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</si>
  <si>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</si>
  <si>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</si>
  <si>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</si>
  <si>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</si>
  <si>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</si>
  <si>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</si>
  <si>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</si>
  <si>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</si>
  <si>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</si>
  <si>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</si>
  <si>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</si>
  <si>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</si>
  <si>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</si>
  <si>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</si>
  <si>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</si>
  <si>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</si>
  <si>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</si>
  <si>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</si>
  <si>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</si>
  <si>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</si>
  <si>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</si>
  <si>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</si>
  <si>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</si>
  <si>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</si>
  <si>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</si>
  <si>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</si>
  <si>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</si>
  <si>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</si>
  <si>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</si>
  <si>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</si>
  <si>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</si>
  <si>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</si>
  <si>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</si>
  <si>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</si>
  <si>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</si>
  <si>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</si>
  <si>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</si>
  <si>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</si>
  <si>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</si>
  <si>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</si>
  <si>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</si>
  <si>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</si>
  <si>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</si>
  <si>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</si>
  <si>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</si>
  <si>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</si>
  <si>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</si>
  <si>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</si>
  <si>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</si>
  <si>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</si>
  <si>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</si>
  <si>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</si>
  <si>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</si>
  <si>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</si>
  <si>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</si>
  <si>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</si>
  <si>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</si>
  <si>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</si>
  <si>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</si>
  <si>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</si>
  <si>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</si>
  <si>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</si>
  <si>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</si>
  <si>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</si>
  <si>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</si>
  <si>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</si>
  <si>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</si>
  <si>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</si>
  <si>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</si>
  <si>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</si>
  <si>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</si>
  <si>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</si>
  <si>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</si>
  <si>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</si>
  <si>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</si>
  <si>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</si>
  <si>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</si>
  <si>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</si>
  <si>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</si>
  <si>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</si>
  <si>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</si>
  <si>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</si>
  <si>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</si>
  <si>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</si>
  <si>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</si>
  <si>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</si>
  <si>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</si>
  <si>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</si>
  <si>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</si>
  <si>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</si>
  <si>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</si>
  <si>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</si>
  <si>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</si>
  <si>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</si>
  <si>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</si>
  <si>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</si>
  <si>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</si>
  <si>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</si>
  <si>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</si>
  <si>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</si>
  <si>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</si>
  <si>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</si>
  <si>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</si>
  <si>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</si>
  <si>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</si>
  <si>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</si>
  <si>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</si>
  <si>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</si>
  <si>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</si>
  <si>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</si>
  <si>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</si>
  <si>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</si>
  <si>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</si>
  <si>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</si>
  <si>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</si>
  <si>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</si>
  <si>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</si>
  <si>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</si>
  <si>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</si>
  <si>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</si>
  <si>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</si>
  <si>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</si>
  <si>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</si>
  <si>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</si>
  <si>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</si>
  <si>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</si>
  <si>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</si>
  <si>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</si>
  <si>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</si>
  <si>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</si>
  <si>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</si>
  <si>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</si>
  <si>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</si>
  <si>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</si>
  <si>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</si>
  <si>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</si>
  <si>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</si>
  <si>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</si>
  <si>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</si>
  <si>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</si>
  <si>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</si>
  <si>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</si>
  <si>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</si>
  <si>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</si>
  <si>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</si>
  <si>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</si>
  <si>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</si>
  <si>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</si>
  <si>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</si>
  <si>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</si>
  <si>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</si>
  <si>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</si>
  <si>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</si>
  <si>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</si>
  <si>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</si>
  <si>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</si>
  <si>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</si>
  <si>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</si>
  <si>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</si>
  <si>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</si>
  <si>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</si>
  <si>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</si>
  <si>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</si>
  <si>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</si>
  <si>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</si>
  <si>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</si>
  <si>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</si>
  <si>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</si>
  <si>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</si>
  <si>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</si>
  <si>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</si>
  <si>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</si>
  <si>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</si>
  <si>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</si>
  <si>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</si>
  <si>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</si>
  <si>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</si>
  <si>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</si>
  <si>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</si>
  <si>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</si>
  <si>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</si>
  <si>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</si>
  <si>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</si>
  <si>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</si>
  <si>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</si>
  <si>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</si>
  <si>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</si>
  <si>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</si>
  <si>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</si>
  <si>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</si>
  <si>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</si>
  <si>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</si>
  <si>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</si>
  <si>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</si>
  <si>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</si>
  <si>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</si>
  <si>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</si>
  <si>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</si>
  <si>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</si>
  <si>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</si>
  <si>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</si>
  <si>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</si>
  <si>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</si>
  <si>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</si>
  <si>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</si>
  <si>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</si>
  <si>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</si>
  <si>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</si>
  <si>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</si>
  <si>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</si>
  <si>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</si>
  <si>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</si>
  <si>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</si>
  <si>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</si>
  <si>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</si>
  <si>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</si>
  <si>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</si>
  <si>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</si>
  <si>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</si>
  <si>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</si>
  <si>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</si>
  <si>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</si>
  <si>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</si>
  <si>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</si>
  <si>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</si>
  <si>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</si>
  <si>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</si>
  <si>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</si>
  <si>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</si>
  <si>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</si>
  <si>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</si>
  <si>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</si>
  <si>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</si>
  <si>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</si>
  <si>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</si>
  <si>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</si>
  <si>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</si>
  <si>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</si>
  <si>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</si>
  <si>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</si>
  <si>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</si>
  <si>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</si>
  <si>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</si>
  <si>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</si>
  <si>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</si>
  <si>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</si>
  <si>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</si>
  <si>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</si>
  <si>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</si>
  <si>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</si>
  <si>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</si>
  <si>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</si>
  <si>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</si>
  <si>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</si>
  <si>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</si>
  <si>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</si>
  <si>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</si>
  <si>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</si>
  <si>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</si>
  <si>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</si>
  <si>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</si>
  <si>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</si>
  <si>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</si>
  <si>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</si>
  <si>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</si>
  <si>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</si>
  <si>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</si>
  <si>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</si>
  <si>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</si>
  <si>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</si>
  <si>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</si>
  <si>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</si>
  <si>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</si>
  <si>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</si>
  <si>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</si>
  <si>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</si>
  <si>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</si>
  <si>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</si>
  <si>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</si>
  <si>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</si>
  <si>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</si>
  <si>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</si>
  <si>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</si>
  <si>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</si>
  <si>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</si>
  <si>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</si>
  <si>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</si>
  <si>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</si>
  <si>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</si>
  <si>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</si>
  <si>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</si>
  <si>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</si>
  <si>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</si>
  <si>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</si>
  <si>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</si>
  <si>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</si>
  <si>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</si>
  <si>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</si>
  <si>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</si>
  <si>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</si>
  <si>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</si>
  <si>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</si>
  <si>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</si>
  <si>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</si>
  <si>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</si>
  <si>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</si>
  <si>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</si>
  <si>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</si>
  <si>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</si>
  <si>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</si>
  <si>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</si>
  <si>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</si>
  <si>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</si>
  <si>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</si>
  <si>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</si>
  <si>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</si>
  <si>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</si>
  <si>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</si>
  <si>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</si>
  <si>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</si>
  <si>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</si>
  <si>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</si>
  <si>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</si>
  <si>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</si>
  <si>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</si>
  <si>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</si>
  <si>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</si>
  <si>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</si>
  <si>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</si>
  <si>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</si>
  <si>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</si>
  <si>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</si>
  <si>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</si>
  <si>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</si>
  <si>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</si>
  <si>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</si>
  <si>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</si>
  <si>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</si>
  <si>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</si>
  <si>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</si>
  <si>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</si>
  <si>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</si>
  <si>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</si>
  <si>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</si>
  <si>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</si>
  <si>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</si>
  <si>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</si>
  <si>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</si>
  <si>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</si>
  <si>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</si>
  <si>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</si>
  <si>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</si>
  <si>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</si>
  <si>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</si>
  <si>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</si>
  <si>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</si>
  <si>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</si>
  <si>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</si>
  <si>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</si>
  <si>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</si>
  <si>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</si>
  <si>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</si>
  <si>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</si>
  <si>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</si>
  <si>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</si>
  <si>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</si>
  <si>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</si>
  <si>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</si>
  <si>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</si>
  <si>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</si>
  <si>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</si>
  <si>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</si>
  <si>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</si>
  <si>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</si>
  <si>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</si>
  <si>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</si>
  <si>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</si>
  <si>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</si>
  <si>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</si>
  <si>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</si>
  <si>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</si>
  <si>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</si>
  <si>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</si>
  <si>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</si>
  <si>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</si>
  <si>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</si>
  <si>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</si>
  <si>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</si>
  <si>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</si>
  <si>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</si>
  <si>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</si>
  <si>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</si>
  <si>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</si>
  <si>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</si>
  <si>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</si>
  <si>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</si>
  <si>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</si>
  <si>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</si>
  <si>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</si>
  <si>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</si>
  <si>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</si>
  <si>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</si>
  <si>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</si>
  <si>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</si>
  <si>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</si>
  <si>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</si>
  <si>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</si>
  <si>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</si>
  <si>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</si>
  <si>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</si>
  <si>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</si>
  <si>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</si>
  <si>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</si>
  <si>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</si>
  <si>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</si>
  <si>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</si>
  <si>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</si>
  <si>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</si>
  <si>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</si>
  <si>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</si>
  <si>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</si>
  <si>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</si>
  <si>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</si>
  <si>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</si>
  <si>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</si>
  <si>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</si>
  <si>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</si>
  <si>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</si>
  <si>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</si>
  <si>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</si>
  <si>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</si>
  <si>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</si>
  <si>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</si>
  <si>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</si>
  <si>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</si>
  <si>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</si>
  <si>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</si>
  <si>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</si>
  <si>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</si>
  <si>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</si>
  <si>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</si>
  <si>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</si>
  <si>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</si>
  <si>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</si>
  <si>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</si>
  <si>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</si>
  <si>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</si>
  <si>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</si>
  <si>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</si>
  <si>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</si>
  <si>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</si>
  <si>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</si>
  <si>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</si>
  <si>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</si>
  <si>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</si>
  <si>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</si>
  <si>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</si>
  <si>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</si>
  <si>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</si>
  <si>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</si>
  <si>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</si>
  <si>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</si>
  <si>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</si>
  <si>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</si>
  <si>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</si>
  <si>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</si>
  <si>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</si>
  <si>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</si>
  <si>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</si>
  <si>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</si>
  <si>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</si>
  <si>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</si>
  <si>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</si>
  <si>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</si>
  <si>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</si>
  <si>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</si>
  <si>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</si>
  <si>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</si>
  <si>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</si>
  <si>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</si>
  <si>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</si>
  <si>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</si>
  <si>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</si>
  <si>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</si>
  <si>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</si>
  <si>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</si>
  <si>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</si>
  <si>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</si>
  <si>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</si>
  <si>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</si>
  <si>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</si>
  <si>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</si>
  <si>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</si>
  <si>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</si>
  <si>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</si>
  <si>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</si>
  <si>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</si>
  <si>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</si>
  <si>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</si>
  <si>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</si>
  <si>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</si>
  <si>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</si>
  <si>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</si>
  <si>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</si>
  <si>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</si>
  <si>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</si>
  <si>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</si>
  <si>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</si>
  <si>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</si>
  <si>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</si>
  <si>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</si>
  <si>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</si>
  <si>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</si>
  <si>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</si>
  <si>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</si>
  <si>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</si>
  <si>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</si>
  <si>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</si>
  <si>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</si>
  <si>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</si>
  <si>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</si>
  <si>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</si>
  <si>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</si>
  <si>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</si>
  <si>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</si>
  <si>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</si>
  <si>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</si>
  <si>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</si>
  <si>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</si>
  <si>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</si>
  <si>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</si>
  <si>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</si>
  <si>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</si>
  <si>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</si>
  <si>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</si>
  <si>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</si>
  <si>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</si>
  <si>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</si>
  <si>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</si>
  <si>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</si>
  <si>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</si>
  <si>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</si>
  <si>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</si>
  <si>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</si>
  <si>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</si>
  <si>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</si>
  <si>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</si>
  <si>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</si>
  <si>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</si>
  <si>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</si>
  <si>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</si>
  <si>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</si>
  <si>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</si>
  <si>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</si>
  <si>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</si>
  <si>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</si>
  <si>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</si>
  <si>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</si>
  <si>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</si>
  <si>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</si>
  <si>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</si>
  <si>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</si>
  <si>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</si>
  <si>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</si>
  <si>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</si>
  <si>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</si>
  <si>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</si>
  <si>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</si>
  <si>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</si>
  <si>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</si>
  <si>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</si>
  <si>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</si>
  <si>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</si>
  <si>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</si>
  <si>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</si>
  <si>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</si>
  <si>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</si>
  <si>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</si>
  <si>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</si>
  <si>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</si>
  <si>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</si>
  <si>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</si>
  <si>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</si>
  <si>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</si>
  <si>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</si>
  <si>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</si>
  <si>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</si>
  <si>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</si>
  <si>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</si>
  <si>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</si>
  <si>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</si>
  <si>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</si>
  <si>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</si>
  <si>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</si>
  <si>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</si>
  <si>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</si>
  <si>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</si>
  <si>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</si>
  <si>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</si>
  <si>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</si>
  <si>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</si>
  <si>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</si>
  <si>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</si>
  <si>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</si>
  <si>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</si>
  <si>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</si>
  <si>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</si>
  <si>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</si>
  <si>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</si>
  <si>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</si>
  <si>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</si>
  <si>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</si>
  <si>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</si>
  <si>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</si>
  <si>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</si>
  <si>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</si>
  <si>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</si>
  <si>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</si>
  <si>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</si>
  <si>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</si>
  <si>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</si>
  <si>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</si>
  <si>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</si>
  <si>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</si>
  <si>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</si>
  <si>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</si>
  <si>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</si>
  <si>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</si>
  <si>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</si>
  <si>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</si>
  <si>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</si>
  <si>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</si>
  <si>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</si>
  <si>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</si>
  <si>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</si>
  <si>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</si>
  <si>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</si>
  <si>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</si>
  <si>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</si>
  <si>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</si>
  <si>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</si>
  <si>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</si>
  <si>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</si>
  <si>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</si>
  <si>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</si>
  <si>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</si>
  <si>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</si>
  <si>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</si>
  <si>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</si>
  <si>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</si>
  <si>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</si>
  <si>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</si>
  <si>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</si>
  <si>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</si>
  <si>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</si>
  <si>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</si>
  <si>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</si>
  <si>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</si>
  <si>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</si>
  <si>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</si>
  <si>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</si>
  <si>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</si>
  <si>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</si>
  <si>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</si>
  <si>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</si>
  <si>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</si>
  <si>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</si>
  <si>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</si>
  <si>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</si>
  <si>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</si>
  <si>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</si>
  <si>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</si>
  <si>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</si>
  <si>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</si>
  <si>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</si>
  <si>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</si>
  <si>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</si>
  <si>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</si>
  <si>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</si>
  <si>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</si>
  <si>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</si>
  <si>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</si>
  <si>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</si>
  <si>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</si>
  <si>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</si>
  <si>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</si>
  <si>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</si>
  <si>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</si>
  <si>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</si>
  <si>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</si>
  <si>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</si>
  <si>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</si>
  <si>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</si>
  <si>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</si>
  <si>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</si>
  <si>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</si>
  <si>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</si>
  <si>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</si>
  <si>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</si>
  <si>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</si>
  <si>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</si>
  <si>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</si>
  <si>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</si>
  <si>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</si>
  <si>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</si>
  <si>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</si>
  <si>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</si>
  <si>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</si>
  <si>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</si>
  <si>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</si>
  <si>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</si>
  <si>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</si>
  <si>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</si>
  <si>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</si>
  <si>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</si>
  <si>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</si>
  <si>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</si>
  <si>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</si>
  <si>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</si>
  <si>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</si>
  <si>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</si>
  <si>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</si>
  <si>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</si>
  <si>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</si>
  <si>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</si>
  <si>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</si>
  <si>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</si>
  <si>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</si>
  <si>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</si>
  <si>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</si>
  <si>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</si>
  <si>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</si>
  <si>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</si>
  <si>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</si>
  <si>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</si>
  <si>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</si>
  <si>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</si>
  <si>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</si>
  <si>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</si>
  <si>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</si>
  <si>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</si>
  <si>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</si>
  <si>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</si>
  <si>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</si>
  <si>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</si>
  <si>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</si>
  <si>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</si>
  <si>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</si>
  <si>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</si>
  <si>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</si>
  <si>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</si>
  <si>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</si>
  <si>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</si>
  <si>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</si>
  <si>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</si>
  <si>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</si>
  <si>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</si>
  <si>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</si>
  <si>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</si>
  <si>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</si>
  <si>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</si>
  <si>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</si>
  <si>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</si>
  <si>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</si>
  <si>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</si>
  <si>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</si>
  <si>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</si>
  <si>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</si>
  <si>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</si>
  <si>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</si>
  <si>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</si>
  <si>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</si>
  <si>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</si>
  <si>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</si>
  <si>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</si>
  <si>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</si>
  <si>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</si>
  <si>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</si>
  <si>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</si>
  <si>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</si>
  <si>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</si>
  <si>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</si>
  <si>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</si>
  <si>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</si>
  <si>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</si>
  <si>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</si>
  <si>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</si>
  <si>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</si>
  <si>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</si>
  <si>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</si>
  <si>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</si>
  <si>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</si>
  <si>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</si>
  <si>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</si>
  <si>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</si>
  <si>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</si>
  <si>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</si>
  <si>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</si>
  <si>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</si>
  <si>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</si>
  <si>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</si>
  <si>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</si>
  <si>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</si>
  <si>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</si>
  <si>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</si>
  <si>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</si>
  <si>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</si>
  <si>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</si>
  <si>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</si>
  <si>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</si>
  <si>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</si>
  <si>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</si>
  <si>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</si>
  <si>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</si>
  <si>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</si>
  <si>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</si>
  <si>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</si>
  <si>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</si>
  <si>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</si>
  <si>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</si>
  <si>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</si>
  <si>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</si>
  <si>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</si>
  <si>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</si>
  <si>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</si>
  <si>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</si>
  <si>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</si>
  <si>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</si>
  <si>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</si>
  <si>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</si>
  <si>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</si>
  <si>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</si>
  <si>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</si>
  <si>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</si>
  <si>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</si>
  <si>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</si>
  <si>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</si>
  <si>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</si>
  <si>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</si>
  <si>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</si>
  <si>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</si>
  <si>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</si>
  <si>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</si>
  <si>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</si>
  <si>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</si>
  <si>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</si>
  <si>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</si>
  <si>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</si>
  <si>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</si>
  <si>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</si>
  <si>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</si>
  <si>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</si>
  <si>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</si>
  <si>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</si>
  <si>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</si>
  <si>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</si>
  <si>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</si>
  <si>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</si>
  <si>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</si>
  <si>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</si>
  <si>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</si>
  <si>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</si>
  <si>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</si>
  <si>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</si>
  <si>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</si>
  <si>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</si>
  <si>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</si>
  <si>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</si>
  <si>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</si>
  <si>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</si>
  <si>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</si>
  <si>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</si>
  <si>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</si>
  <si>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</si>
  <si>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</si>
  <si>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</si>
  <si>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</si>
  <si>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</si>
  <si>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</si>
  <si>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</si>
  <si>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</si>
  <si>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</si>
  <si>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</si>
  <si>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</si>
  <si>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</si>
  <si>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</si>
  <si>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</si>
  <si>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</si>
  <si>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</si>
  <si>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</si>
  <si>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</si>
  <si>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</si>
  <si>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</si>
  <si>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</si>
  <si>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</si>
  <si>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</si>
  <si>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</si>
  <si>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</si>
  <si>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</si>
  <si>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</si>
  <si>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</si>
  <si>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</si>
  <si>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</si>
  <si>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</si>
  <si>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</si>
  <si>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</si>
  <si>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</si>
  <si>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</si>
  <si>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</si>
  <si>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</si>
  <si>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</si>
  <si>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</si>
  <si>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</si>
  <si>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</si>
  <si>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</si>
  <si>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</si>
  <si>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</si>
  <si>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</si>
  <si>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</si>
  <si>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</si>
  <si>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</si>
  <si>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</si>
  <si>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</si>
  <si>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</si>
  <si>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</si>
  <si>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</si>
  <si>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</si>
  <si>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</si>
  <si>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</si>
  <si>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</si>
  <si>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</si>
  <si>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</si>
  <si>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</si>
  <si>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</si>
  <si>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</si>
  <si>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</si>
  <si>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</si>
  <si>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</si>
  <si>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</si>
  <si>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</si>
  <si>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</si>
  <si>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</si>
  <si>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</si>
  <si>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</si>
  <si>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</si>
  <si>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</si>
  <si>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</si>
  <si>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</si>
  <si>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</si>
  <si>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</si>
  <si>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</si>
  <si>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</si>
  <si>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</si>
  <si>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</si>
  <si>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</si>
  <si>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</si>
  <si>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</si>
  <si>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</si>
  <si>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</si>
  <si>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</si>
  <si>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</si>
  <si>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</si>
  <si>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</si>
  <si>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</si>
  <si>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</si>
  <si>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</si>
  <si>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</si>
  <si>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</si>
  <si>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</si>
  <si>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</si>
  <si>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</si>
  <si>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</si>
  <si>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</si>
  <si>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</si>
  <si>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</si>
  <si>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</si>
  <si>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</si>
  <si>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</si>
  <si>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</si>
  <si>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</si>
  <si>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</si>
  <si>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</si>
  <si>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</si>
  <si>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</si>
  <si>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</si>
  <si>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</si>
  <si>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</si>
  <si>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</si>
  <si>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</si>
  <si>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</si>
  <si>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</si>
  <si>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</si>
  <si>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</si>
  <si>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</si>
  <si>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</si>
  <si>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</si>
  <si>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</si>
  <si>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</si>
  <si>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</si>
  <si>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</si>
  <si>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</si>
  <si>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</si>
  <si>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</si>
  <si>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</si>
  <si>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</si>
  <si>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</si>
  <si>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</si>
  <si>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</si>
  <si>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</si>
  <si>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</si>
  <si>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</si>
  <si>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</si>
  <si>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</si>
  <si>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</si>
  <si>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</si>
  <si>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</si>
  <si>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</si>
  <si>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</si>
  <si>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</si>
  <si>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</si>
  <si>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</si>
  <si>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</si>
  <si>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</si>
  <si>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</si>
  <si>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</si>
  <si>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</si>
  <si>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</si>
  <si>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</si>
  <si>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</si>
  <si>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</si>
  <si>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</si>
  <si>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</si>
  <si>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</si>
  <si>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</si>
  <si>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</si>
  <si>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</si>
  <si>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</si>
  <si>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</si>
  <si>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</si>
  <si>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</si>
  <si>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</si>
  <si>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</si>
  <si>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</si>
  <si>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</si>
  <si>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</si>
  <si>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</si>
  <si>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</si>
  <si>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</si>
  <si>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</si>
  <si>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</si>
  <si>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</si>
  <si>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</si>
  <si>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</si>
  <si>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</si>
  <si>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</si>
  <si>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</si>
  <si>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</si>
  <si>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</si>
  <si>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</si>
  <si>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</si>
  <si>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</si>
  <si>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</si>
  <si>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</si>
  <si>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</si>
  <si>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</si>
  <si>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</si>
  <si>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</si>
  <si>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</si>
  <si>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</si>
  <si>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</si>
  <si>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</si>
  <si>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</si>
  <si>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</si>
  <si>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</si>
  <si>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</si>
  <si>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</si>
  <si>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</si>
  <si>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</si>
  <si>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</si>
  <si>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</si>
  <si>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</si>
  <si>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</si>
  <si>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</si>
  <si>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</si>
  <si>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</si>
  <si>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</si>
  <si>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</si>
  <si>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</si>
  <si>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</si>
  <si>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</si>
  <si>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</si>
  <si>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</si>
  <si>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</si>
  <si>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</si>
  <si>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</si>
  <si>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</si>
  <si>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</si>
  <si>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</si>
  <si>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</si>
  <si>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</si>
  <si>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</si>
  <si>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</si>
  <si>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</si>
  <si>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</si>
  <si>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</si>
  <si>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</si>
  <si>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</si>
  <si>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</si>
  <si>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</si>
  <si>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</si>
  <si>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</si>
  <si>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</si>
  <si>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</si>
  <si>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</si>
  <si>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</si>
  <si>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</si>
  <si>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</si>
  <si>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</si>
  <si>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</si>
  <si>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</si>
  <si>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</si>
  <si>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</si>
  <si>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</si>
  <si>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</si>
  <si>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</si>
  <si>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</si>
  <si>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</si>
  <si>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</si>
  <si>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</si>
  <si>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</si>
  <si>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</si>
  <si>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</si>
  <si>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</si>
  <si>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</si>
  <si>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</si>
  <si>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</si>
  <si>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</si>
  <si>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</si>
  <si>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</si>
  <si>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</si>
  <si>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</si>
  <si>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</si>
  <si>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</si>
  <si>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</si>
  <si>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</si>
  <si>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</si>
  <si>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</si>
  <si>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</si>
  <si>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</si>
  <si>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</si>
  <si>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</si>
  <si>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</si>
  <si>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</si>
  <si>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</si>
  <si>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</si>
  <si>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</si>
  <si>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</si>
  <si>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</si>
  <si>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</si>
  <si>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</si>
  <si>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</si>
  <si>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</si>
  <si>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</si>
  <si>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</si>
  <si>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</si>
  <si>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</si>
  <si>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</si>
  <si>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</si>
  <si>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</si>
  <si>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</si>
  <si>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</si>
  <si>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</si>
  <si>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</si>
  <si>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</si>
  <si>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</si>
  <si>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</si>
  <si>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</si>
  <si>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</si>
  <si>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</si>
  <si>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</si>
  <si>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</si>
  <si>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</si>
  <si>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</si>
  <si>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</si>
  <si>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</si>
  <si>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</si>
  <si>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</si>
  <si>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</si>
  <si>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</si>
  <si>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</si>
  <si>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</si>
  <si>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</si>
  <si>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</si>
  <si>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</si>
  <si>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</si>
  <si>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</si>
  <si>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</si>
  <si>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</si>
  <si>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</si>
  <si>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</si>
  <si>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</si>
  <si>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</si>
  <si>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</si>
  <si>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</si>
  <si>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</si>
  <si>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</si>
  <si>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</si>
  <si>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</si>
  <si>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</si>
  <si>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</si>
  <si>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</si>
  <si>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</si>
  <si>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</si>
  <si>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</si>
  <si>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</si>
  <si>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</si>
  <si>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</si>
  <si>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</si>
  <si>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</si>
  <si>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</si>
  <si>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</si>
  <si>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</si>
  <si>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</si>
  <si>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</si>
  <si>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</si>
  <si>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</si>
  <si>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</si>
  <si>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</si>
  <si>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</si>
  <si>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</si>
  <si>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</si>
  <si>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</si>
  <si>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</si>
  <si>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</si>
  <si>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</si>
  <si>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</si>
  <si>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</si>
  <si>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</si>
  <si>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</si>
  <si>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</si>
  <si>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</si>
  <si>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</si>
  <si>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</si>
  <si>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</si>
  <si>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</si>
  <si>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</si>
  <si>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</si>
  <si>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</si>
  <si>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</si>
  <si>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</si>
  <si>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</si>
  <si>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2452 SVEUČILIŠTE J. J. STROSSMAYERA U OSIJEKU</t>
  </si>
  <si>
    <t>2.10.2024.</t>
  </si>
  <si>
    <t>MARKO AREŽINA</t>
  </si>
  <si>
    <t>031/224-133</t>
  </si>
  <si>
    <t>marezina@unios.hr</t>
  </si>
  <si>
    <t>MINISTARSTVO ZNANOSTI I OBRAZOVANJA  (1222)</t>
  </si>
  <si>
    <t>AGENCIJA ZA MOBILNOST I PROGRAME EUROPSKE UNIJE (43335)</t>
  </si>
  <si>
    <t>Program Erasmus +- ključna aktivnost 1 za područje visokog obrazovanja za projekte mobilnosti između programskih i partnerskih zemalja</t>
  </si>
  <si>
    <t>REGIONALNI ZNANSTVENI CENTAR PANONSKE HRVATSKE 04-UBS-Š-0619/22-14</t>
  </si>
  <si>
    <t>MINISTARSTVO REGIONALNOG RAZVOJA I FONDOVA EU</t>
  </si>
  <si>
    <t>14.04.2024.</t>
  </si>
  <si>
    <t>HRVATSKA ZAKLADA ZA ZNANOST (52209)</t>
  </si>
  <si>
    <t>HORIZON-MISS-2022-OCEAN-01-101112736 Restore4Life</t>
  </si>
  <si>
    <t>lipanj 2023.</t>
  </si>
  <si>
    <t>lipanj 2026.</t>
  </si>
  <si>
    <t>University of Bucharest, Romania</t>
  </si>
  <si>
    <t>Obnova slatkovodnih i slanih poplavnih područja slijeva Dunava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</si>
</sst>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</borders>
  <cellStyleXfs count="147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  <xf numFmtId="0" fontId="103" fillId="0" borderId="0"/>
  </cellStyleXfs>
  <cellXfs count="409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3" fillId="53" borderId="1" xfId="0" applyFont="1" applyFill="1" applyBorder="1"/>
    <xf numFmtId="0" fontId="23" fillId="0" borderId="1" xfId="16" applyNumberFormat="1" applyFont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3" fontId="104" fillId="0" borderId="7" xfId="146" applyNumberFormat="1" applyFont="1" applyFill="1" applyBorder="1" applyAlignment="1" applyProtection="1">
      <alignment horizontal="right" vertical="center"/>
      <protection locked="0"/>
    </xf>
    <xf numFmtId="3" fontId="105" fillId="52" borderId="42" xfId="146" applyNumberFormat="1" applyFont="1" applyFill="1" applyBorder="1" applyAlignment="1" applyProtection="1">
      <alignment horizontal="right" vertical="center"/>
      <protection locked="0"/>
    </xf>
    <xf numFmtId="3" fontId="105" fillId="52" borderId="43" xfId="146" applyNumberFormat="1" applyFont="1" applyFill="1" applyBorder="1" applyAlignment="1" applyProtection="1">
      <alignment horizontal="right" vertical="center"/>
      <protection locked="0"/>
    </xf>
    <xf numFmtId="3" fontId="105" fillId="0" borderId="7" xfId="146" applyNumberFormat="1" applyFont="1" applyFill="1" applyBorder="1" applyAlignment="1" applyProtection="1">
      <alignment horizontal="right" vertical="center"/>
      <protection locked="0"/>
    </xf>
    <xf numFmtId="3" fontId="106" fillId="0" borderId="7" xfId="146" applyNumberFormat="1" applyFont="1" applyFill="1" applyBorder="1" applyAlignment="1" applyProtection="1">
      <alignment horizontal="right" vertical="center"/>
      <protection locked="0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7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Normalno" xfId="0" builtinId="0"/>
    <cellStyle name="Normalno 2" xfId="146" xr:uid="{FA1E68AB-3D14-4CC1-AB3B-8192BCED755A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opLeftCell="A4" zoomScale="90" zoomScaleNormal="90" workbookViewId="0">
      <selection activeCell="D25" sqref="D25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83" t="s">
        <v>4821</v>
      </c>
      <c r="D1" s="384"/>
      <c r="E1" s="384"/>
      <c r="F1" s="384"/>
      <c r="G1" s="385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6" t="s">
        <v>4822</v>
      </c>
      <c r="D2" s="387"/>
      <c r="E2" s="387"/>
      <c r="F2" s="387"/>
      <c r="G2" s="388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6" t="s">
        <v>4823</v>
      </c>
      <c r="D3" s="387"/>
      <c r="E3" s="387"/>
      <c r="F3" s="387"/>
      <c r="G3" s="388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6" t="s">
        <v>4824</v>
      </c>
      <c r="D4" s="387"/>
      <c r="E4" s="387"/>
      <c r="F4" s="387"/>
      <c r="G4" s="388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6" t="s">
        <v>4825</v>
      </c>
      <c r="D5" s="387"/>
      <c r="E5" s="387"/>
      <c r="F5" s="387"/>
      <c r="G5" s="388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9" t="s">
        <v>4049</v>
      </c>
      <c r="C7" s="379"/>
      <c r="D7" s="379"/>
      <c r="E7" s="380"/>
      <c r="F7" s="380"/>
      <c r="G7" s="380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9" t="s">
        <v>3</v>
      </c>
      <c r="C9" s="379"/>
      <c r="D9" s="379"/>
      <c r="E9" s="380"/>
      <c r="F9" s="380"/>
      <c r="G9" s="380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1" t="s">
        <v>3879</v>
      </c>
      <c r="C11" s="381"/>
      <c r="D11" s="381"/>
      <c r="E11" s="382"/>
      <c r="F11" s="382"/>
      <c r="G11" s="382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13185028</v>
      </c>
      <c r="D14" s="61">
        <f>SUM(D15:D16)</f>
        <v>13622047</v>
      </c>
      <c r="E14" s="61">
        <f>SUM(E15:E16)</f>
        <v>11484272</v>
      </c>
      <c r="F14" s="61">
        <f>+F15+F16</f>
        <v>9570655</v>
      </c>
      <c r="G14" s="61">
        <f>+G15+G16</f>
        <v>9250498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66">
        <f>8470800+2491872+1221258+1001098</f>
        <v>13185028</v>
      </c>
      <c r="D15" s="366">
        <f>8996228+2378190+1241952+1005677</f>
        <v>13622047</v>
      </c>
      <c r="E15" s="64">
        <f>'A.1 PRIHODI I RASHODI EK'!F11</f>
        <v>11484272</v>
      </c>
      <c r="F15" s="64">
        <f>'A.1 PRIHODI I RASHODI EK'!G11</f>
        <v>9570655</v>
      </c>
      <c r="G15" s="64">
        <f>'A.1 PRIHODI I RASHODI EK'!H11</f>
        <v>9250498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66">
        <v>0</v>
      </c>
      <c r="D16" s="366">
        <v>0</v>
      </c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11274937</v>
      </c>
      <c r="D17" s="68">
        <f>SUM(D18:D19)</f>
        <v>13014986</v>
      </c>
      <c r="E17" s="68">
        <f>SUM(E18:E19)</f>
        <v>10894272</v>
      </c>
      <c r="F17" s="68">
        <f>+F18+F19</f>
        <v>9807670</v>
      </c>
      <c r="G17" s="68">
        <f>+G18+G19</f>
        <v>9502596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63">
        <f>5822181+2331861+1173031+1001098</f>
        <v>10328171</v>
      </c>
      <c r="D18" s="363">
        <f>7483061+2277698+1159035+991277</f>
        <v>11911071</v>
      </c>
      <c r="E18" s="69">
        <f>'A.1 PRIHODI I RASHODI EK'!F27</f>
        <v>10494836</v>
      </c>
      <c r="F18" s="69">
        <f>'A.1 PRIHODI I RASHODI EK'!G27</f>
        <v>9443716</v>
      </c>
      <c r="G18" s="69">
        <f>'A.1 PRIHODI I RASHODI EK'!H27</f>
        <v>9149729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63">
        <f>913031+27727+6008</f>
        <v>946766</v>
      </c>
      <c r="D19" s="363">
        <f>969718+66442+53355+14400</f>
        <v>1103915</v>
      </c>
      <c r="E19" s="69">
        <f>'A.1 PRIHODI I RASHODI EK'!F35</f>
        <v>399436</v>
      </c>
      <c r="F19" s="69">
        <f>'A.1 PRIHODI I RASHODI EK'!G35</f>
        <v>363954</v>
      </c>
      <c r="G19" s="69">
        <f>'A.1 PRIHODI I RASHODI EK'!H35</f>
        <v>352867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1910091</v>
      </c>
      <c r="D20" s="61">
        <f>+D14-D17</f>
        <v>607061</v>
      </c>
      <c r="E20" s="61">
        <f>+E14-E17</f>
        <v>590000</v>
      </c>
      <c r="F20" s="61">
        <f>+F14-F17</f>
        <v>-237015</v>
      </c>
      <c r="G20" s="61">
        <f>+G14-G17</f>
        <v>-252098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7"/>
      <c r="C21" s="377"/>
      <c r="D21" s="377"/>
      <c r="E21" s="378"/>
      <c r="F21" s="378"/>
      <c r="G21" s="378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79" t="s">
        <v>3881</v>
      </c>
      <c r="C22" s="379"/>
      <c r="D22" s="379"/>
      <c r="E22" s="380"/>
      <c r="F22" s="380"/>
      <c r="G22" s="380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66">
        <v>0</v>
      </c>
      <c r="D25" s="366">
        <v>0</v>
      </c>
      <c r="E25" s="64">
        <f>'B.1 RAČUN FINANC EK'!F10</f>
        <v>150000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66"/>
      <c r="D26" s="366">
        <v>150000</v>
      </c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-150000</v>
      </c>
      <c r="E27" s="68">
        <f>+E25-E26</f>
        <v>150000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63">
        <f>1735588+257910+121485</f>
        <v>2114983</v>
      </c>
      <c r="D28" s="363">
        <f>3471176+10810+42000</f>
        <v>3523986</v>
      </c>
      <c r="E28" s="69">
        <f>+'Unos prijenosa'!D5</f>
        <v>1385357</v>
      </c>
      <c r="F28" s="69">
        <f>+'Unos prijenosa'!D13</f>
        <v>2125357</v>
      </c>
      <c r="G28" s="69">
        <f>+'Unos prijenosa'!D21</f>
        <v>1888342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64">
        <f>-3471176-390194-163704</f>
        <v>-4025074</v>
      </c>
      <c r="D29" s="364">
        <f>-3864625-44860-71562</f>
        <v>-3981047</v>
      </c>
      <c r="E29" s="72">
        <f>+'Unos prijenosa'!D7</f>
        <v>-2125357</v>
      </c>
      <c r="F29" s="72">
        <f>+'Unos prijenosa'!D15</f>
        <v>-1888342</v>
      </c>
      <c r="G29" s="73">
        <f>+'Unos prijenosa'!D23</f>
        <v>-1636244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-1910091</v>
      </c>
      <c r="D30" s="68">
        <f>+D27+D28+D29</f>
        <v>-607061</v>
      </c>
      <c r="E30" s="68">
        <f>+E27+E28+E29</f>
        <v>-590000</v>
      </c>
      <c r="F30" s="68">
        <f t="shared" ref="F30:G30" si="3">+F27+F28+F29</f>
        <v>237015</v>
      </c>
      <c r="G30" s="68">
        <f t="shared" si="3"/>
        <v>252098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77"/>
      <c r="C31" s="377"/>
      <c r="D31" s="377"/>
      <c r="E31" s="378"/>
      <c r="F31" s="378"/>
      <c r="G31" s="378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400" t="s">
        <v>4812</v>
      </c>
      <c r="C2" s="400"/>
      <c r="D2" s="400"/>
      <c r="E2" s="400"/>
      <c r="F2" s="400"/>
      <c r="G2" s="400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0" t="s">
        <v>4813</v>
      </c>
      <c r="C6" s="338">
        <f>C8+C11+C14</f>
        <v>0</v>
      </c>
      <c r="D6" s="338">
        <f>D8+D11+D14</f>
        <v>0</v>
      </c>
      <c r="E6" s="338">
        <f>+E7+E10</f>
        <v>150000</v>
      </c>
      <c r="F6" s="338">
        <f t="shared" ref="F6:G6" si="0">+F7+F10</f>
        <v>0</v>
      </c>
      <c r="G6" s="338">
        <f t="shared" si="0"/>
        <v>0</v>
      </c>
      <c r="H6" s="315" t="str">
        <f>'OPĆI DIO'!$C$1</f>
        <v>2452 SVEUČILIŠTE J. J. STROSSMAYERA U OSIJEKU</v>
      </c>
    </row>
    <row r="7" spans="1:9" s="339" customFormat="1">
      <c r="A7" s="339">
        <v>43</v>
      </c>
      <c r="B7" s="337" t="s">
        <v>4816</v>
      </c>
      <c r="C7" s="340">
        <f>C8</f>
        <v>0</v>
      </c>
      <c r="D7" s="340">
        <f t="shared" ref="D7" si="1">D8</f>
        <v>0</v>
      </c>
      <c r="E7" s="340">
        <f>E8+E9</f>
        <v>150000</v>
      </c>
      <c r="F7" s="340">
        <f t="shared" ref="F7:G7" si="2">F8+F9</f>
        <v>0</v>
      </c>
      <c r="G7" s="340">
        <f t="shared" si="2"/>
        <v>0</v>
      </c>
      <c r="H7" s="315" t="str">
        <f>'OPĆI DIO'!$C$1</f>
        <v>2452 SVEUČILIŠTE J. J. STROSSMAYERA U OSIJEKU</v>
      </c>
    </row>
    <row r="8" spans="1:9" s="281" customFormat="1">
      <c r="A8" s="281">
        <v>81</v>
      </c>
      <c r="B8" s="278" t="s">
        <v>4794</v>
      </c>
      <c r="C8" s="365">
        <v>0</v>
      </c>
      <c r="D8" s="365">
        <v>0</v>
      </c>
      <c r="E8" s="333">
        <f>SUMIF('Unos prihoda i primitaka'!$L$3:$L$501,$A8,'Unos prihoda i primitaka'!G$3:G$501)</f>
        <v>150000</v>
      </c>
      <c r="F8" s="333">
        <f>SUMIF('Unos prihoda i primitaka'!$L$3:$L$501,$A8,'Unos prihoda i primitaka'!H$3:H$501)</f>
        <v>0</v>
      </c>
      <c r="G8" s="333">
        <f>SUMIF('Unos prihoda i primitaka'!$L$3:$L$501,$A8,'Unos prihoda i primitaka'!I$3:I$501)</f>
        <v>0</v>
      </c>
      <c r="H8" s="315" t="str">
        <f>'OPĆI DIO'!$C$1</f>
        <v>2452 SVEUČILIŠTE J. J. STROSSMAYERA U OSIJEKU</v>
      </c>
    </row>
    <row r="9" spans="1:9" s="281" customFormat="1">
      <c r="A9" s="281">
        <v>83</v>
      </c>
      <c r="B9" s="278" t="s">
        <v>4794</v>
      </c>
      <c r="C9" s="365">
        <v>0</v>
      </c>
      <c r="D9" s="365">
        <v>0</v>
      </c>
      <c r="E9" s="333">
        <f>SUMIF('Unos prihoda i primitaka'!$L$3:$L$501,$A9,'Unos prihoda i primitaka'!G$3:G$501)</f>
        <v>0</v>
      </c>
      <c r="F9" s="333">
        <f>SUMIF('Unos prihoda i primitaka'!$L$3:$L$501,$A9,'Unos prihoda i primitaka'!H$3:H$501)</f>
        <v>0</v>
      </c>
      <c r="G9" s="333">
        <f>SUMIF('Unos prihoda i primitaka'!$L$3:$L$501,$A9,'Unos prihoda i primitaka'!I$3:I$501)</f>
        <v>0</v>
      </c>
      <c r="H9" s="315" t="str">
        <f>'OPĆI DIO'!$C$1</f>
        <v>2452 SVEUČILIŠTE J. J. STROSSMAYERA U OSIJEKU</v>
      </c>
    </row>
    <row r="10" spans="1:9" s="341" customFormat="1">
      <c r="A10" s="341">
        <v>81</v>
      </c>
      <c r="B10" s="277" t="s">
        <v>4808</v>
      </c>
      <c r="C10" s="340">
        <f>C11</f>
        <v>0</v>
      </c>
      <c r="D10" s="340">
        <f t="shared" ref="D10" si="3">D11</f>
        <v>0</v>
      </c>
      <c r="E10" s="340">
        <f>E11</f>
        <v>0</v>
      </c>
      <c r="F10" s="340">
        <f t="shared" ref="F10" si="4">F11</f>
        <v>0</v>
      </c>
      <c r="G10" s="340">
        <f t="shared" ref="G10" si="5">G11</f>
        <v>0</v>
      </c>
      <c r="H10" s="315" t="str">
        <f>'OPĆI DIO'!$C$1</f>
        <v>2452 SVEUČILIŠTE J. J. STROSSMAYERA U OSIJEKU</v>
      </c>
    </row>
    <row r="11" spans="1:9" s="281" customFormat="1">
      <c r="A11" s="281">
        <v>84</v>
      </c>
      <c r="B11" s="278" t="s">
        <v>4808</v>
      </c>
      <c r="C11" s="365">
        <v>0</v>
      </c>
      <c r="D11" s="365">
        <v>0</v>
      </c>
      <c r="E11" s="333">
        <f>SUMIF('Unos prihoda i primitaka'!$L$3:$L$501,$A11,'Unos prihoda i primitaka'!G$3:G$501)</f>
        <v>0</v>
      </c>
      <c r="F11" s="333">
        <f>SUMIF('Unos prihoda i primitaka'!$L$3:$L$501,$A11,'Unos prihoda i primitaka'!H$3:H$501)</f>
        <v>0</v>
      </c>
      <c r="G11" s="333">
        <f>SUMIF('Unos prihoda i primitaka'!$L$3:$L$501,$A11,'Unos prihoda i primitaka'!I$3:I$501)</f>
        <v>0</v>
      </c>
      <c r="H11" s="315" t="str">
        <f>'OPĆI DIO'!$C$1</f>
        <v>2452 SVEUČILIŠTE J. J. STROSSMAYERA U OSIJEKU</v>
      </c>
    </row>
    <row r="12" spans="1:9" s="98" customFormat="1">
      <c r="B12" s="350" t="s">
        <v>4814</v>
      </c>
      <c r="C12" s="351">
        <f>C13</f>
        <v>0</v>
      </c>
      <c r="D12" s="351">
        <f t="shared" ref="D12:G12" si="6">D13</f>
        <v>0</v>
      </c>
      <c r="E12" s="351">
        <f t="shared" si="6"/>
        <v>0</v>
      </c>
      <c r="F12" s="351">
        <f t="shared" si="6"/>
        <v>0</v>
      </c>
      <c r="G12" s="351">
        <f t="shared" si="6"/>
        <v>0</v>
      </c>
      <c r="H12" s="315" t="str">
        <f>'OPĆI DIO'!$C$1</f>
        <v>2452 SVEUČILIŠTE J. J. STROSSMAYERA U OSIJEKU</v>
      </c>
    </row>
    <row r="13" spans="1:9" s="339" customFormat="1">
      <c r="B13" s="337" t="s">
        <v>4791</v>
      </c>
      <c r="C13" s="340">
        <f>C14</f>
        <v>0</v>
      </c>
      <c r="D13" s="340">
        <f t="shared" ref="D13" si="7">D14</f>
        <v>0</v>
      </c>
      <c r="E13" s="340">
        <f t="shared" ref="E13" si="8">E14</f>
        <v>0</v>
      </c>
      <c r="F13" s="340">
        <f t="shared" ref="F13" si="9">F14</f>
        <v>0</v>
      </c>
      <c r="G13" s="340">
        <f t="shared" ref="G13" si="10">G14</f>
        <v>0</v>
      </c>
      <c r="H13" s="315" t="str">
        <f>'OPĆI DIO'!$C$1</f>
        <v>2452 SVEUČILIŠTE J. J. STROSSMAYERA U OSIJEKU</v>
      </c>
    </row>
    <row r="14" spans="1:9" s="281" customFormat="1">
      <c r="A14" s="281">
        <v>5</v>
      </c>
      <c r="B14" s="278" t="s">
        <v>4791</v>
      </c>
      <c r="C14" s="365">
        <v>0</v>
      </c>
      <c r="D14" s="365">
        <v>0</v>
      </c>
      <c r="E14" s="333">
        <f>SUMIF('Unos rashoda i izdataka'!$S$3:$S$501,$A14,'Unos rashoda i izdataka'!J$3:J$501)+SUMIF('Unos rashoda P4'!$U$3:$U$501,$A14,'Unos rashoda P4'!H$3:H$501)</f>
        <v>0</v>
      </c>
      <c r="F14" s="333">
        <f>SUMIF('Unos rashoda i izdataka'!$S$3:$S$501,$A14,'Unos rashoda i izdataka'!K$3:K$501)+SUMIF('Unos rashoda P4'!$U$3:$U$501,$A14,'Unos rashoda P4'!I$3:I$501)</f>
        <v>0</v>
      </c>
      <c r="G14" s="333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2452 SVEUČILIŠTE J. J. STROSSMAYERA U OSIJEKU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topLeftCell="A130" workbookViewId="0">
      <selection activeCell="F135" sqref="F135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7" t="s">
        <v>2339</v>
      </c>
      <c r="B1" s="407"/>
      <c r="C1" s="407"/>
      <c r="D1" s="407"/>
      <c r="E1" s="407"/>
      <c r="F1" s="407"/>
      <c r="G1" s="407"/>
      <c r="H1" s="407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8" t="s">
        <v>3877</v>
      </c>
      <c r="B615" s="408"/>
      <c r="C615" s="408"/>
      <c r="D615" s="408"/>
      <c r="E615" s="408"/>
      <c r="F615" s="408"/>
      <c r="G615" s="408"/>
      <c r="H615" s="408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34"/>
  <sheetViews>
    <sheetView showGridLines="0" zoomScale="70" zoomScaleNormal="70" workbookViewId="0">
      <pane ySplit="2" topLeftCell="A3" activePane="bottomLeft" state="frozen"/>
      <selection pane="bottomLeft" activeCell="G15" sqref="G15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9" t="s">
        <v>4040</v>
      </c>
      <c r="B1" s="389"/>
      <c r="C1" s="389"/>
      <c r="D1" s="389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49" t="s">
        <v>642</v>
      </c>
      <c r="F3" s="322" t="str">
        <f t="shared" ref="F3" si="2">IFERROR(VLOOKUP(E3,$R$6:$U$113,2,FALSE),"")</f>
        <v>Prihodi iz nadležnog proračuna za financiranje redovne djelatnosti proračunskih korisnika</v>
      </c>
      <c r="G3" s="81">
        <f>3510852</f>
        <v>3510852</v>
      </c>
      <c r="H3" s="224">
        <f>3520566</f>
        <v>3520566</v>
      </c>
      <c r="I3" s="224">
        <f>3525511</f>
        <v>3525511</v>
      </c>
      <c r="J3" s="49"/>
      <c r="K3" t="str">
        <f>IF(E3="","",'OPĆI DIO'!$C$1)</f>
        <v>2452 SVEUČILIŠTE J. J. STROSSMAYERA U OSIJEKU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12</v>
      </c>
      <c r="D4" s="38" t="str">
        <f t="shared" ref="D4:D66" si="4">IFERROR(VLOOKUP(E4,$R$6:$U$113,4,FALSE),"")</f>
        <v>Sredstva učešća za pomoći</v>
      </c>
      <c r="E4" s="49" t="s">
        <v>643</v>
      </c>
      <c r="F4" s="86" t="str">
        <f t="shared" ref="F4:F66" si="5">IFERROR(VLOOKUP(E4,$R$6:$U$113,2,FALSE),"")</f>
        <v>Prihodi iz nadležnog proračuna za financiranje redovne djelatnosti proračunskih korisnika</v>
      </c>
      <c r="G4" s="81">
        <v>258823</v>
      </c>
      <c r="H4" s="224">
        <v>0</v>
      </c>
      <c r="I4" s="224">
        <v>0</v>
      </c>
      <c r="J4" s="49"/>
      <c r="K4" s="246" t="str">
        <f>IF(E4="","",'OPĆI DIO'!$C$1)</f>
        <v>2452 SVEUČILIŠTE J. J. STROSSMAYERA U OSIJEKU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31</v>
      </c>
      <c r="D5" s="38" t="str">
        <f t="shared" si="4"/>
        <v>Vlastiti prihodi</v>
      </c>
      <c r="E5" s="49">
        <v>641310031</v>
      </c>
      <c r="F5" s="86" t="str">
        <f t="shared" si="5"/>
        <v>Kamate na oročena sredstva izvor 31</v>
      </c>
      <c r="G5" s="81">
        <v>0</v>
      </c>
      <c r="H5" s="224">
        <v>0</v>
      </c>
      <c r="I5" s="224">
        <v>0</v>
      </c>
      <c r="J5" s="49"/>
      <c r="K5" s="246" t="str">
        <f>IF(E5="","",'OPĆI DIO'!$C$1)</f>
        <v>2452 SVEUČILIŠTE J. J. STROSSMAYERA U OSIJEKU</v>
      </c>
      <c r="L5" s="40" t="str">
        <f t="shared" si="6"/>
        <v>64</v>
      </c>
      <c r="M5" s="40" t="str">
        <f t="shared" si="7"/>
        <v>641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31</v>
      </c>
      <c r="D6" s="38" t="str">
        <f t="shared" si="4"/>
        <v>Vlastiti prihodi</v>
      </c>
      <c r="E6" s="49">
        <v>641320031</v>
      </c>
      <c r="F6" s="86" t="str">
        <f t="shared" si="5"/>
        <v>Kamate na depozite po viđenju izvor 31</v>
      </c>
      <c r="G6" s="81">
        <v>400</v>
      </c>
      <c r="H6" s="224">
        <v>370</v>
      </c>
      <c r="I6" s="224">
        <v>350</v>
      </c>
      <c r="J6" s="49"/>
      <c r="K6" s="246" t="str">
        <f>IF(E6="","",'OPĆI DIO'!$C$1)</f>
        <v>2452 SVEUČILIŠTE J. J. STROSSMAYERA U OSIJEKU</v>
      </c>
      <c r="L6" s="40" t="str">
        <f>LEFT(E6,2)</f>
        <v>64</v>
      </c>
      <c r="M6" s="40" t="str">
        <f t="shared" si="7"/>
        <v>641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31</v>
      </c>
      <c r="D7" s="38" t="str">
        <f t="shared" si="4"/>
        <v>Vlastiti prihodi</v>
      </c>
      <c r="E7" s="49">
        <v>6614</v>
      </c>
      <c r="F7" s="86" t="str">
        <f t="shared" si="5"/>
        <v>Prihodi od prodanih proizvoda i robe</v>
      </c>
      <c r="G7" s="81">
        <v>0</v>
      </c>
      <c r="H7" s="224">
        <v>0</v>
      </c>
      <c r="I7" s="224">
        <v>0</v>
      </c>
      <c r="J7" s="49"/>
      <c r="K7" s="246" t="str">
        <f>IF(E7="","",'OPĆI DIO'!$C$1)</f>
        <v>2452 SVEUČILIŠTE J. J. STROSSMAYERA U OSIJEKU</v>
      </c>
      <c r="L7" s="40" t="str">
        <f t="shared" si="6"/>
        <v>66</v>
      </c>
      <c r="M7" s="40" t="str">
        <f t="shared" si="7"/>
        <v>661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31</v>
      </c>
      <c r="D8" s="38" t="str">
        <f t="shared" si="4"/>
        <v>Vlastiti prihodi</v>
      </c>
      <c r="E8" s="49">
        <v>6615</v>
      </c>
      <c r="F8" s="86" t="str">
        <f t="shared" si="5"/>
        <v>Prihodi od pruženih usluga</v>
      </c>
      <c r="G8" s="81">
        <v>70000</v>
      </c>
      <c r="H8" s="224">
        <v>65000</v>
      </c>
      <c r="I8" s="224">
        <v>60000</v>
      </c>
      <c r="J8" s="49"/>
      <c r="K8" s="246" t="str">
        <f>IF(E8="","",'OPĆI DIO'!$C$1)</f>
        <v>2452 SVEUČILIŠTE J. J. STROSSMAYERA U OSIJEKU</v>
      </c>
      <c r="L8" s="40" t="str">
        <f t="shared" si="6"/>
        <v>66</v>
      </c>
      <c r="M8" s="40" t="str">
        <f t="shared" si="7"/>
        <v>661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43</v>
      </c>
      <c r="D9" s="38" t="str">
        <f t="shared" si="4"/>
        <v>Ostali prihodi za posebne namjene</v>
      </c>
      <c r="E9" s="49">
        <v>65264</v>
      </c>
      <c r="F9" s="86" t="str">
        <f t="shared" si="5"/>
        <v>Sufinanciranje cijene usluge, participacije i slično</v>
      </c>
      <c r="G9" s="81">
        <v>250000</v>
      </c>
      <c r="H9" s="224">
        <v>200000</v>
      </c>
      <c r="I9" s="224">
        <v>170000</v>
      </c>
      <c r="J9" s="49"/>
      <c r="K9" s="246" t="str">
        <f>IF(E9="","",'OPĆI DIO'!$C$1)</f>
        <v>2452 SVEUČILIŠTE J. J. STROSSMAYERA U OSIJEKU</v>
      </c>
      <c r="L9" s="40" t="str">
        <f t="shared" si="6"/>
        <v>65</v>
      </c>
      <c r="M9" s="40" t="str">
        <f t="shared" si="7"/>
        <v>652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43</v>
      </c>
      <c r="D10" s="38" t="str">
        <f t="shared" si="4"/>
        <v>Ostali prihodi za posebne namjene</v>
      </c>
      <c r="E10" s="49">
        <v>65268</v>
      </c>
      <c r="F10" s="86" t="str">
        <f t="shared" si="5"/>
        <v xml:space="preserve">Ostali prihodi za posebne namjene </v>
      </c>
      <c r="G10" s="81">
        <v>400000</v>
      </c>
      <c r="H10" s="224">
        <v>350000</v>
      </c>
      <c r="I10" s="224">
        <v>300000</v>
      </c>
      <c r="J10" s="49"/>
      <c r="K10" s="246" t="str">
        <f>IF(E10="","",'OPĆI DIO'!$C$1)</f>
        <v>2452 SVEUČILIŠTE J. J. STROSSMAYERA U OSIJEKU</v>
      </c>
      <c r="L10" s="40" t="str">
        <f t="shared" si="6"/>
        <v>65</v>
      </c>
      <c r="M10" s="40" t="str">
        <f t="shared" si="7"/>
        <v>652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52</v>
      </c>
      <c r="D11" s="38" t="str">
        <f t="shared" si="4"/>
        <v xml:space="preserve">Ostale pomoći i darovnice </v>
      </c>
      <c r="E11" s="49">
        <v>631120000</v>
      </c>
      <c r="F11" s="86" t="str">
        <f t="shared" si="5"/>
        <v>Tekuće pomoći od inozemnih vlada izvan EU</v>
      </c>
      <c r="G11" s="81">
        <v>4000</v>
      </c>
      <c r="H11" s="224">
        <v>2000</v>
      </c>
      <c r="I11" s="224">
        <v>1700</v>
      </c>
      <c r="J11" s="49"/>
      <c r="K11" s="246" t="str">
        <f>IF(E11="","",'OPĆI DIO'!$C$1)</f>
        <v>2452 SVEUČILIŠTE J. J. STROSSMAYERA U OSIJEKU</v>
      </c>
      <c r="L11" s="40" t="str">
        <f t="shared" si="6"/>
        <v>63</v>
      </c>
      <c r="M11" s="40" t="str">
        <f t="shared" si="7"/>
        <v>631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08006</v>
      </c>
      <c r="B12" s="319" t="str">
        <f>IF(E12="","",VLOOKUP('OPĆI DIO'!$C$1,'OPĆI DIO'!$N$4:$W$137,9,FALSE))</f>
        <v>Sveučilišta i veleučilišta u Republici Hrvatskoj</v>
      </c>
      <c r="C12" s="83">
        <f t="shared" si="3"/>
        <v>52</v>
      </c>
      <c r="D12" s="38" t="str">
        <f t="shared" si="4"/>
        <v xml:space="preserve">Ostale pomoći i darovnice </v>
      </c>
      <c r="E12" s="49">
        <v>6341</v>
      </c>
      <c r="F12" s="86" t="str">
        <f t="shared" si="5"/>
        <v xml:space="preserve">Tekuće pomoći od izvanproračunskih korisnika </v>
      </c>
      <c r="G12" s="81">
        <v>0</v>
      </c>
      <c r="H12" s="224">
        <v>0</v>
      </c>
      <c r="I12" s="224">
        <v>0</v>
      </c>
      <c r="J12" s="49"/>
      <c r="K12" s="246" t="str">
        <f>IF(E12="","",'OPĆI DIO'!$C$1)</f>
        <v>2452 SVEUČILIŠTE J. J. STROSSMAYERA U OSIJEKU</v>
      </c>
      <c r="L12" s="40" t="str">
        <f t="shared" si="6"/>
        <v>63</v>
      </c>
      <c r="M12" s="40" t="str">
        <f t="shared" si="7"/>
        <v>634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>08006</v>
      </c>
      <c r="B13" s="319" t="str">
        <f>IF(E13="","",VLOOKUP('OPĆI DIO'!$C$1,'OPĆI DIO'!$N$4:$W$137,9,FALSE))</f>
        <v>Sveučilišta i veleučilišta u Republici Hrvatskoj</v>
      </c>
      <c r="C13" s="83">
        <f t="shared" si="3"/>
        <v>52</v>
      </c>
      <c r="D13" s="38" t="str">
        <f t="shared" si="4"/>
        <v xml:space="preserve">Ostale pomoći i darovnice </v>
      </c>
      <c r="E13" s="49">
        <v>6361</v>
      </c>
      <c r="F13" s="86" t="str">
        <f t="shared" si="5"/>
        <v>Tekuće pomoći proračunskim korisnicima iz proračuna JLP(R)S koji im nije nadležan</v>
      </c>
      <c r="G13" s="81">
        <v>0</v>
      </c>
      <c r="H13" s="224">
        <v>0</v>
      </c>
      <c r="I13" s="224">
        <v>0</v>
      </c>
      <c r="J13" s="49"/>
      <c r="K13" s="246" t="str">
        <f>IF(E13="","",'OPĆI DIO'!$C$1)</f>
        <v>2452 SVEUČILIŠTE J. J. STROSSMAYERA U OSIJEKU</v>
      </c>
      <c r="L13" s="40" t="str">
        <f t="shared" si="6"/>
        <v>63</v>
      </c>
      <c r="M13" s="40" t="str">
        <f t="shared" si="7"/>
        <v>636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>08006</v>
      </c>
      <c r="B14" s="319" t="str">
        <f>IF(E14="","",VLOOKUP('OPĆI DIO'!$C$1,'OPĆI DIO'!$N$4:$W$137,9,FALSE))</f>
        <v>Sveučilišta i veleučilišta u Republici Hrvatskoj</v>
      </c>
      <c r="C14" s="83">
        <f t="shared" si="3"/>
        <v>52</v>
      </c>
      <c r="D14" s="38" t="str">
        <f t="shared" si="4"/>
        <v xml:space="preserve">Ostale pomoći i darovnice </v>
      </c>
      <c r="E14" s="49">
        <v>6381</v>
      </c>
      <c r="F14" s="86" t="str">
        <f t="shared" si="5"/>
        <v>Tekuće pomoći temeljem prijenosa EU sredstava iz proračuna JLP(R)S, korisnika JLPRS ili izvanproračunskog korisnika</v>
      </c>
      <c r="G14" s="81">
        <v>0</v>
      </c>
      <c r="H14" s="224">
        <v>0</v>
      </c>
      <c r="I14" s="224">
        <v>0</v>
      </c>
      <c r="J14" s="49"/>
      <c r="K14" s="246" t="str">
        <f>IF(E14="","",'OPĆI DIO'!$C$1)</f>
        <v>2452 SVEUČILIŠTE J. J. STROSSMAYERA U OSIJEKU</v>
      </c>
      <c r="L14" s="40" t="str">
        <f t="shared" si="6"/>
        <v>63</v>
      </c>
      <c r="M14" s="40" t="str">
        <f t="shared" si="7"/>
        <v>638</v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>08006</v>
      </c>
      <c r="B15" s="319" t="str">
        <f>IF(E15="","",VLOOKUP('OPĆI DIO'!$C$1,'OPĆI DIO'!$N$4:$W$137,9,FALSE))</f>
        <v>Sveučilišta i veleučilišta u Republici Hrvatskoj</v>
      </c>
      <c r="C15" s="83">
        <f t="shared" si="3"/>
        <v>52</v>
      </c>
      <c r="D15" s="38" t="str">
        <f t="shared" si="4"/>
        <v xml:space="preserve">Ostale pomoći i darovnice </v>
      </c>
      <c r="E15" s="49">
        <v>6391</v>
      </c>
      <c r="F15" s="86" t="str">
        <f t="shared" si="5"/>
        <v>Tekući prijenosi između proračunskih korisnika istog proračuna</v>
      </c>
      <c r="G15" s="367">
        <v>59000</v>
      </c>
      <c r="H15" s="224"/>
      <c r="I15" s="224"/>
      <c r="J15" s="49" t="s">
        <v>4826</v>
      </c>
      <c r="K15" s="246" t="str">
        <f>IF(E15="","",'OPĆI DIO'!$C$1)</f>
        <v>2452 SVEUČILIŠTE J. J. STROSSMAYERA U OSIJEKU</v>
      </c>
      <c r="L15" s="40" t="str">
        <f t="shared" si="6"/>
        <v>63</v>
      </c>
      <c r="M15" s="40" t="str">
        <f t="shared" si="7"/>
        <v>639</v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>08006</v>
      </c>
      <c r="B16" s="319" t="str">
        <f>IF(E16="","",VLOOKUP('OPĆI DIO'!$C$1,'OPĆI DIO'!$N$4:$W$137,9,FALSE))</f>
        <v>Sveučilišta i veleučilišta u Republici Hrvatskoj</v>
      </c>
      <c r="C16" s="83">
        <f t="shared" si="3"/>
        <v>563</v>
      </c>
      <c r="D16" s="38" t="str">
        <f t="shared" si="4"/>
        <v>Europski fond za regionalni razvoj (ERDF)</v>
      </c>
      <c r="E16" s="49">
        <v>632310563</v>
      </c>
      <c r="F16" s="86" t="str">
        <f t="shared" si="5"/>
        <v>Europski fond za regionalni razvoj (EFRR)</v>
      </c>
      <c r="G16" s="81">
        <v>685176</v>
      </c>
      <c r="H16" s="224">
        <v>0</v>
      </c>
      <c r="I16" s="224">
        <v>0</v>
      </c>
      <c r="J16" s="49"/>
      <c r="K16" s="246" t="str">
        <f>IF(E16="","",'OPĆI DIO'!$C$1)</f>
        <v>2452 SVEUČILIŠTE J. J. STROSSMAYERA U OSIJEKU</v>
      </c>
      <c r="L16" s="40" t="str">
        <f t="shared" si="6"/>
        <v>63</v>
      </c>
      <c r="M16" s="40" t="str">
        <f t="shared" si="7"/>
        <v>632</v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>08006</v>
      </c>
      <c r="B17" s="319" t="str">
        <f>IF(E17="","",VLOOKUP('OPĆI DIO'!$C$1,'OPĆI DIO'!$N$4:$W$137,9,FALSE))</f>
        <v>Sveučilišta i veleučilišta u Republici Hrvatskoj</v>
      </c>
      <c r="C17" s="83">
        <f t="shared" si="3"/>
        <v>563</v>
      </c>
      <c r="D17" s="38" t="str">
        <f t="shared" si="4"/>
        <v>Europski fond za regionalni razvoj (ERDF)</v>
      </c>
      <c r="E17" s="49">
        <v>632410563</v>
      </c>
      <c r="F17" s="86" t="str">
        <f t="shared" si="5"/>
        <v>Europski fond za regionalni razvoj (EFRR)</v>
      </c>
      <c r="G17" s="81">
        <v>781490</v>
      </c>
      <c r="H17" s="224">
        <v>0</v>
      </c>
      <c r="I17" s="224">
        <v>0</v>
      </c>
      <c r="J17" s="49"/>
      <c r="K17" s="246" t="str">
        <f>IF(E17="","",'OPĆI DIO'!$C$1)</f>
        <v>2452 SVEUČILIŠTE J. J. STROSSMAYERA U OSIJEKU</v>
      </c>
      <c r="L17" s="40" t="str">
        <f t="shared" si="6"/>
        <v>63</v>
      </c>
      <c r="M17" s="40" t="str">
        <f t="shared" si="7"/>
        <v>632</v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>08006</v>
      </c>
      <c r="B18" s="319" t="str">
        <f>IF(E18="","",VLOOKUP('OPĆI DIO'!$C$1,'OPĆI DIO'!$N$4:$W$137,9,FALSE))</f>
        <v>Sveučilišta i veleučilišta u Republici Hrvatskoj</v>
      </c>
      <c r="C18" s="83">
        <f t="shared" si="3"/>
        <v>52</v>
      </c>
      <c r="D18" s="38" t="str">
        <f t="shared" si="4"/>
        <v xml:space="preserve">Ostale pomoći i darovnice </v>
      </c>
      <c r="E18" s="49">
        <v>6393</v>
      </c>
      <c r="F18" s="86" t="str">
        <f t="shared" si="5"/>
        <v>Tekući prijenosi između proračunskih korisnika istog proračuna temeljem prijenosa EU sredstava</v>
      </c>
      <c r="G18" s="81">
        <v>211919</v>
      </c>
      <c r="H18" s="224">
        <v>275910</v>
      </c>
      <c r="I18" s="224">
        <v>29456</v>
      </c>
      <c r="J18" s="49" t="s">
        <v>4827</v>
      </c>
      <c r="K18" s="246" t="str">
        <f>IF(E18="","",'OPĆI DIO'!$C$1)</f>
        <v>2452 SVEUČILIŠTE J. J. STROSSMAYERA U OSIJEKU</v>
      </c>
      <c r="L18" s="40" t="str">
        <f t="shared" si="6"/>
        <v>63</v>
      </c>
      <c r="M18" s="40" t="str">
        <f t="shared" si="7"/>
        <v>639</v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>08006</v>
      </c>
      <c r="B19" s="319" t="str">
        <f>IF(E19="","",VLOOKUP('OPĆI DIO'!$C$1,'OPĆI DIO'!$N$4:$W$137,9,FALSE))</f>
        <v>Sveučilišta i veleučilišta u Republici Hrvatskoj</v>
      </c>
      <c r="C19" s="83">
        <f t="shared" si="3"/>
        <v>43</v>
      </c>
      <c r="D19" s="38" t="str">
        <f t="shared" si="4"/>
        <v>Ostali prihodi za posebne namjene</v>
      </c>
      <c r="E19" s="49">
        <v>818120043</v>
      </c>
      <c r="F19" s="86" t="str">
        <f t="shared" si="5"/>
        <v>Primici od povrata depozita od tuzemnih kreditnih i ostalih institucija - dugoročni - namjenski</v>
      </c>
      <c r="G19" s="81">
        <v>150000</v>
      </c>
      <c r="H19" s="224">
        <v>0</v>
      </c>
      <c r="I19" s="224">
        <v>0</v>
      </c>
      <c r="J19" s="49"/>
      <c r="K19" s="246" t="str">
        <f>IF(E19="","",'OPĆI DIO'!$C$1)</f>
        <v>2452 SVEUČILIŠTE J. J. STROSSMAYERA U OSIJEKU</v>
      </c>
      <c r="L19" s="40" t="str">
        <f t="shared" si="6"/>
        <v>81</v>
      </c>
      <c r="M19" s="40" t="str">
        <f t="shared" si="7"/>
        <v>818</v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>08006</v>
      </c>
      <c r="B20" s="319" t="str">
        <f>IF(E20="","",VLOOKUP('OPĆI DIO'!$C$1,'OPĆI DIO'!$N$4:$W$137,9,FALSE))</f>
        <v>Sveučilišta i veleučilišta u Republici Hrvatskoj</v>
      </c>
      <c r="C20" s="83">
        <f t="shared" si="3"/>
        <v>52</v>
      </c>
      <c r="D20" s="38" t="str">
        <f t="shared" si="4"/>
        <v xml:space="preserve">Ostale pomoći i darovnice </v>
      </c>
      <c r="E20" s="49">
        <v>6361</v>
      </c>
      <c r="F20" s="86" t="str">
        <f t="shared" si="5"/>
        <v>Tekuće pomoći proračunskim korisnicima iz proračuna JLP(R)S koji im nije nadležan</v>
      </c>
      <c r="G20" s="81">
        <f>28500+18627+4275+38724</f>
        <v>90126</v>
      </c>
      <c r="H20" s="81">
        <v>0</v>
      </c>
      <c r="I20" s="81">
        <v>0</v>
      </c>
      <c r="J20" s="49"/>
      <c r="K20" s="246" t="str">
        <f>IF(E20="","",'OPĆI DIO'!$C$1)</f>
        <v>2452 SVEUČILIŠTE J. J. STROSSMAYERA U OSIJEKU</v>
      </c>
      <c r="L20" s="40" t="str">
        <f t="shared" si="6"/>
        <v>63</v>
      </c>
      <c r="M20" s="40" t="str">
        <f t="shared" si="7"/>
        <v>636</v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>08006</v>
      </c>
      <c r="B21" s="319" t="str">
        <f>IF(E21="","",VLOOKUP('OPĆI DIO'!$C$1,'OPĆI DIO'!$N$4:$W$137,9,FALSE))</f>
        <v>Sveučilišta i veleučilišta u Republici Hrvatskoj</v>
      </c>
      <c r="C21" s="83">
        <f t="shared" si="3"/>
        <v>11</v>
      </c>
      <c r="D21" s="38" t="str">
        <f t="shared" si="4"/>
        <v>Opći prihodi i primici</v>
      </c>
      <c r="E21" s="372" t="s">
        <v>642</v>
      </c>
      <c r="F21" s="86" t="str">
        <f t="shared" si="5"/>
        <v>Prihodi iz nadležnog proračuna za financiranje redovne djelatnosti proračunskih korisnika</v>
      </c>
      <c r="G21" s="224">
        <v>1324012</v>
      </c>
      <c r="H21" s="224">
        <v>1330048</v>
      </c>
      <c r="I21" s="224">
        <v>1336209</v>
      </c>
      <c r="J21" s="49"/>
      <c r="K21" s="246" t="str">
        <f>IF(E21="","",'OPĆI DIO'!$C$1)</f>
        <v>2452 SVEUČILIŠTE J. J. STROSSMAYERA U OSIJEKU</v>
      </c>
      <c r="L21" s="40" t="str">
        <f t="shared" si="6"/>
        <v>67</v>
      </c>
      <c r="M21" s="40" t="str">
        <f t="shared" si="7"/>
        <v>671</v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>08006</v>
      </c>
      <c r="B22" s="319" t="str">
        <f>IF(E22="","",VLOOKUP('OPĆI DIO'!$C$1,'OPĆI DIO'!$N$4:$W$137,9,FALSE))</f>
        <v>Sveučilišta i veleučilišta u Republici Hrvatskoj</v>
      </c>
      <c r="C22" s="83">
        <f t="shared" si="3"/>
        <v>31</v>
      </c>
      <c r="D22" s="38" t="str">
        <f t="shared" si="4"/>
        <v>Vlastiti prihodi</v>
      </c>
      <c r="E22" s="372">
        <v>641320031</v>
      </c>
      <c r="F22" s="86" t="str">
        <f t="shared" si="5"/>
        <v>Kamate na depozite po viđenju izvor 31</v>
      </c>
      <c r="G22" s="224">
        <v>20</v>
      </c>
      <c r="H22" s="224">
        <v>20</v>
      </c>
      <c r="I22" s="224">
        <v>20</v>
      </c>
      <c r="J22" s="49"/>
      <c r="K22" s="246" t="str">
        <f>IF(E22="","",'OPĆI DIO'!$C$1)</f>
        <v>2452 SVEUČILIŠTE J. J. STROSSMAYERA U OSIJEKU</v>
      </c>
      <c r="L22" s="40" t="str">
        <f t="shared" si="6"/>
        <v>64</v>
      </c>
      <c r="M22" s="40" t="str">
        <f t="shared" si="7"/>
        <v>641</v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>08006</v>
      </c>
      <c r="B23" s="319" t="str">
        <f>IF(E23="","",VLOOKUP('OPĆI DIO'!$C$1,'OPĆI DIO'!$N$4:$W$137,9,FALSE))</f>
        <v>Sveučilišta i veleučilišta u Republici Hrvatskoj</v>
      </c>
      <c r="C23" s="83">
        <f t="shared" si="3"/>
        <v>31</v>
      </c>
      <c r="D23" s="38" t="str">
        <f t="shared" si="4"/>
        <v>Vlastiti prihodi</v>
      </c>
      <c r="E23" s="372">
        <v>6615</v>
      </c>
      <c r="F23" s="86" t="str">
        <f t="shared" si="5"/>
        <v>Prihodi od pruženih usluga</v>
      </c>
      <c r="G23" s="224">
        <v>980</v>
      </c>
      <c r="H23" s="224">
        <v>986</v>
      </c>
      <c r="I23" s="224">
        <v>990</v>
      </c>
      <c r="J23" s="49"/>
      <c r="K23" s="246" t="str">
        <f>IF(E23="","",'OPĆI DIO'!$C$1)</f>
        <v>2452 SVEUČILIŠTE J. J. STROSSMAYERA U OSIJEKU</v>
      </c>
      <c r="L23" s="40" t="str">
        <f t="shared" si="6"/>
        <v>66</v>
      </c>
      <c r="M23" s="40" t="str">
        <f t="shared" si="7"/>
        <v>661</v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>08006</v>
      </c>
      <c r="B24" s="319" t="str">
        <f>IF(E24="","",VLOOKUP('OPĆI DIO'!$C$1,'OPĆI DIO'!$N$4:$W$137,9,FALSE))</f>
        <v>Sveučilišta i veleučilišta u Republici Hrvatskoj</v>
      </c>
      <c r="C24" s="83">
        <f t="shared" si="3"/>
        <v>43</v>
      </c>
      <c r="D24" s="38" t="str">
        <f t="shared" si="4"/>
        <v>Ostali prihodi za posebne namjene</v>
      </c>
      <c r="E24" s="372">
        <v>65264</v>
      </c>
      <c r="F24" s="86" t="str">
        <f t="shared" si="5"/>
        <v>Sufinanciranje cijene usluge, participacije i slično</v>
      </c>
      <c r="G24" s="224">
        <v>53000</v>
      </c>
      <c r="H24" s="224">
        <v>53500</v>
      </c>
      <c r="I24" s="224">
        <v>54000</v>
      </c>
      <c r="J24" s="49"/>
      <c r="K24" s="246" t="str">
        <f>IF(E24="","",'OPĆI DIO'!$C$1)</f>
        <v>2452 SVEUČILIŠTE J. J. STROSSMAYERA U OSIJEKU</v>
      </c>
      <c r="L24" s="40" t="str">
        <f t="shared" si="6"/>
        <v>65</v>
      </c>
      <c r="M24" s="40" t="str">
        <f t="shared" si="7"/>
        <v>652</v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>08006</v>
      </c>
      <c r="B25" s="319" t="str">
        <f>IF(E25="","",VLOOKUP('OPĆI DIO'!$C$1,'OPĆI DIO'!$N$4:$W$137,9,FALSE))</f>
        <v>Sveučilišta i veleučilišta u Republici Hrvatskoj</v>
      </c>
      <c r="C25" s="83">
        <f t="shared" si="3"/>
        <v>43</v>
      </c>
      <c r="D25" s="38" t="str">
        <f t="shared" si="4"/>
        <v>Ostali prihodi za posebne namjene</v>
      </c>
      <c r="E25" s="372">
        <v>65268</v>
      </c>
      <c r="F25" s="86" t="str">
        <f t="shared" si="5"/>
        <v xml:space="preserve">Ostali prihodi za posebne namjene </v>
      </c>
      <c r="G25" s="224">
        <v>5000</v>
      </c>
      <c r="H25" s="224">
        <v>5050</v>
      </c>
      <c r="I25" s="224">
        <v>5100</v>
      </c>
      <c r="J25" s="49"/>
      <c r="K25" s="246" t="str">
        <f>IF(E25="","",'OPĆI DIO'!$C$1)</f>
        <v>2452 SVEUČILIŠTE J. J. STROSSMAYERA U OSIJEKU</v>
      </c>
      <c r="L25" s="40" t="str">
        <f t="shared" si="6"/>
        <v>65</v>
      </c>
      <c r="M25" s="40" t="str">
        <f t="shared" si="7"/>
        <v>652</v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>08006</v>
      </c>
      <c r="B26" s="319" t="str">
        <f>IF(E26="","",VLOOKUP('OPĆI DIO'!$C$1,'OPĆI DIO'!$N$4:$W$137,9,FALSE))</f>
        <v>Sveučilišta i veleučilišta u Republici Hrvatskoj</v>
      </c>
      <c r="C26" s="83">
        <f t="shared" si="3"/>
        <v>52</v>
      </c>
      <c r="D26" s="38" t="str">
        <f t="shared" si="4"/>
        <v xml:space="preserve">Ostale pomoći i darovnice </v>
      </c>
      <c r="E26" s="372">
        <v>6391</v>
      </c>
      <c r="F26" s="86" t="str">
        <f t="shared" si="5"/>
        <v>Tekući prijenosi između proračunskih korisnika istog proračuna</v>
      </c>
      <c r="G26" s="224">
        <v>4000</v>
      </c>
      <c r="H26" s="224">
        <v>0</v>
      </c>
      <c r="I26" s="224">
        <v>0</v>
      </c>
      <c r="J26" s="49" t="s">
        <v>4832</v>
      </c>
      <c r="K26" s="246" t="str">
        <f>IF(E26="","",'OPĆI DIO'!$C$1)</f>
        <v>2452 SVEUČILIŠTE J. J. STROSSMAYERA U OSIJEKU</v>
      </c>
      <c r="L26" s="40" t="str">
        <f t="shared" si="6"/>
        <v>63</v>
      </c>
      <c r="M26" s="40" t="str">
        <f t="shared" si="7"/>
        <v>639</v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>08006</v>
      </c>
      <c r="B27" s="319" t="str">
        <f>IF(E27="","",VLOOKUP('OPĆI DIO'!$C$1,'OPĆI DIO'!$N$4:$W$137,9,FALSE))</f>
        <v>Sveučilišta i veleučilišta u Republici Hrvatskoj</v>
      </c>
      <c r="C27" s="83">
        <f t="shared" si="3"/>
        <v>11</v>
      </c>
      <c r="D27" s="38" t="str">
        <f t="shared" si="4"/>
        <v>Opći prihodi i primici</v>
      </c>
      <c r="E27" s="49" t="s">
        <v>642</v>
      </c>
      <c r="F27" s="86" t="str">
        <f t="shared" si="5"/>
        <v>Prihodi iz nadležnog proračuna za financiranje redovne djelatnosti proračunskih korisnika</v>
      </c>
      <c r="G27" s="81">
        <v>2022018</v>
      </c>
      <c r="H27" s="81">
        <v>2031921</v>
      </c>
      <c r="I27" s="81">
        <v>2042034</v>
      </c>
      <c r="J27" s="49"/>
      <c r="K27" s="246" t="str">
        <f>IF(E27="","",'OPĆI DIO'!$C$1)</f>
        <v>2452 SVEUČILIŠTE J. J. STROSSMAYERA U OSIJEKU</v>
      </c>
      <c r="L27" s="40" t="str">
        <f t="shared" si="6"/>
        <v>67</v>
      </c>
      <c r="M27" s="40" t="str">
        <f t="shared" si="7"/>
        <v>671</v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>08006</v>
      </c>
      <c r="B28" s="319" t="str">
        <f>IF(E28="","",VLOOKUP('OPĆI DIO'!$C$1,'OPĆI DIO'!$N$4:$W$137,9,FALSE))</f>
        <v>Sveučilišta i veleučilišta u Republici Hrvatskoj</v>
      </c>
      <c r="C28" s="83">
        <f t="shared" si="3"/>
        <v>11</v>
      </c>
      <c r="D28" s="38" t="str">
        <f t="shared" si="4"/>
        <v>Opći prihodi i primici</v>
      </c>
      <c r="E28" s="49" t="s">
        <v>642</v>
      </c>
      <c r="F28" s="86" t="str">
        <f t="shared" si="5"/>
        <v>Prihodi iz nadležnog proračuna za financiranje redovne djelatnosti proračunskih korisnika</v>
      </c>
      <c r="G28" s="81">
        <v>136477</v>
      </c>
      <c r="H28" s="81">
        <v>136477</v>
      </c>
      <c r="I28" s="81">
        <v>136477</v>
      </c>
      <c r="J28" s="49"/>
      <c r="K28" s="246" t="str">
        <f>IF(E28="","",'OPĆI DIO'!$C$1)</f>
        <v>2452 SVEUČILIŠTE J. J. STROSSMAYERA U OSIJEKU</v>
      </c>
      <c r="L28" s="40" t="str">
        <f t="shared" si="6"/>
        <v>67</v>
      </c>
      <c r="M28" s="40" t="str">
        <f t="shared" si="7"/>
        <v>671</v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>08006</v>
      </c>
      <c r="B29" s="319" t="str">
        <f>IF(E29="","",VLOOKUP('OPĆI DIO'!$C$1,'OPĆI DIO'!$N$4:$W$137,9,FALSE))</f>
        <v>Sveučilišta i veleučilišta u Republici Hrvatskoj</v>
      </c>
      <c r="C29" s="83">
        <f t="shared" si="3"/>
        <v>11</v>
      </c>
      <c r="D29" s="38" t="str">
        <f t="shared" si="4"/>
        <v>Opći prihodi i primici</v>
      </c>
      <c r="E29" s="49" t="s">
        <v>642</v>
      </c>
      <c r="F29" s="86" t="str">
        <f t="shared" si="5"/>
        <v>Prihodi iz nadležnog proračuna za financiranje redovne djelatnosti proračunskih korisnika</v>
      </c>
      <c r="G29" s="81">
        <v>1494</v>
      </c>
      <c r="H29" s="81">
        <v>1494</v>
      </c>
      <c r="I29" s="81">
        <v>1494</v>
      </c>
      <c r="J29" s="49"/>
      <c r="K29" s="246" t="str">
        <f>IF(E29="","",'OPĆI DIO'!$C$1)</f>
        <v>2452 SVEUČILIŠTE J. J. STROSSMAYERA U OSIJEKU</v>
      </c>
      <c r="L29" s="40" t="str">
        <f t="shared" si="6"/>
        <v>67</v>
      </c>
      <c r="M29" s="40" t="str">
        <f t="shared" si="7"/>
        <v>671</v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>08006</v>
      </c>
      <c r="B30" s="319" t="str">
        <f>IF(E30="","",VLOOKUP('OPĆI DIO'!$C$1,'OPĆI DIO'!$N$4:$W$137,9,FALSE))</f>
        <v>Sveučilišta i veleučilišta u Republici Hrvatskoj</v>
      </c>
      <c r="C30" s="83">
        <f t="shared" si="3"/>
        <v>31</v>
      </c>
      <c r="D30" s="38" t="str">
        <f t="shared" si="4"/>
        <v>Vlastiti prihodi</v>
      </c>
      <c r="E30" s="49">
        <v>6615</v>
      </c>
      <c r="F30" s="86" t="str">
        <f t="shared" si="5"/>
        <v>Prihodi od pruženih usluga</v>
      </c>
      <c r="G30" s="81">
        <v>200000</v>
      </c>
      <c r="H30" s="81">
        <v>195000</v>
      </c>
      <c r="I30" s="81">
        <v>195000</v>
      </c>
      <c r="J30" s="49"/>
      <c r="K30" s="246" t="str">
        <f>IF(E30="","",'OPĆI DIO'!$C$1)</f>
        <v>2452 SVEUČILIŠTE J. J. STROSSMAYERA U OSIJEKU</v>
      </c>
      <c r="L30" s="40" t="str">
        <f t="shared" si="6"/>
        <v>66</v>
      </c>
      <c r="M30" s="40" t="str">
        <f t="shared" si="7"/>
        <v>661</v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>08006</v>
      </c>
      <c r="B31" s="319" t="str">
        <f>IF(E31="","",VLOOKUP('OPĆI DIO'!$C$1,'OPĆI DIO'!$N$4:$W$137,9,FALSE))</f>
        <v>Sveučilišta i veleučilišta u Republici Hrvatskoj</v>
      </c>
      <c r="C31" s="83">
        <f t="shared" si="3"/>
        <v>43</v>
      </c>
      <c r="D31" s="38" t="str">
        <f t="shared" si="4"/>
        <v>Ostali prihodi za posebne namjene</v>
      </c>
      <c r="E31" s="49">
        <v>65264</v>
      </c>
      <c r="F31" s="86" t="str">
        <f t="shared" si="5"/>
        <v>Sufinanciranje cijene usluge, participacije i slično</v>
      </c>
      <c r="G31" s="81">
        <v>105000</v>
      </c>
      <c r="H31" s="81">
        <v>110000</v>
      </c>
      <c r="I31" s="81">
        <v>115000</v>
      </c>
      <c r="J31" s="49"/>
      <c r="K31" s="246" t="str">
        <f>IF(E31="","",'OPĆI DIO'!$C$1)</f>
        <v>2452 SVEUČILIŠTE J. J. STROSSMAYERA U OSIJEKU</v>
      </c>
      <c r="L31" s="40" t="str">
        <f t="shared" si="6"/>
        <v>65</v>
      </c>
      <c r="M31" s="40" t="str">
        <f t="shared" si="7"/>
        <v>652</v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>08006</v>
      </c>
      <c r="B32" s="319" t="str">
        <f>IF(E32="","",VLOOKUP('OPĆI DIO'!$C$1,'OPĆI DIO'!$N$4:$W$137,9,FALSE))</f>
        <v>Sveučilišta i veleučilišta u Republici Hrvatskoj</v>
      </c>
      <c r="C32" s="83">
        <f t="shared" si="3"/>
        <v>43</v>
      </c>
      <c r="D32" s="38" t="str">
        <f t="shared" si="4"/>
        <v>Ostali prihodi za posebne namjene</v>
      </c>
      <c r="E32" s="49">
        <v>65268</v>
      </c>
      <c r="F32" s="86" t="str">
        <f t="shared" si="5"/>
        <v xml:space="preserve">Ostali prihodi za posebne namjene </v>
      </c>
      <c r="G32" s="81">
        <v>78000</v>
      </c>
      <c r="H32" s="81">
        <v>80000</v>
      </c>
      <c r="I32" s="81">
        <v>82000</v>
      </c>
      <c r="J32" s="49"/>
      <c r="K32" s="246" t="str">
        <f>IF(E32="","",'OPĆI DIO'!$C$1)</f>
        <v>2452 SVEUČILIŠTE J. J. STROSSMAYERA U OSIJEKU</v>
      </c>
      <c r="L32" s="40" t="str">
        <f t="shared" si="6"/>
        <v>65</v>
      </c>
      <c r="M32" s="40" t="str">
        <f t="shared" si="7"/>
        <v>652</v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>08006</v>
      </c>
      <c r="B33" s="319" t="str">
        <f>IF(E33="","",VLOOKUP('OPĆI DIO'!$C$1,'OPĆI DIO'!$N$4:$W$137,9,FALSE))</f>
        <v>Sveučilišta i veleučilišta u Republici Hrvatskoj</v>
      </c>
      <c r="C33" s="83">
        <f t="shared" si="3"/>
        <v>52</v>
      </c>
      <c r="D33" s="38" t="str">
        <f t="shared" si="4"/>
        <v xml:space="preserve">Ostale pomoći i darovnice </v>
      </c>
      <c r="E33" s="49">
        <v>6391</v>
      </c>
      <c r="F33" s="86" t="str">
        <f t="shared" si="5"/>
        <v>Tekući prijenosi između proračunskih korisnika istog proračuna</v>
      </c>
      <c r="G33" s="81">
        <v>23000</v>
      </c>
      <c r="H33" s="81">
        <v>0</v>
      </c>
      <c r="I33" s="81">
        <v>0</v>
      </c>
      <c r="J33" s="49" t="s">
        <v>4832</v>
      </c>
      <c r="K33" s="246" t="str">
        <f>IF(E33="","",'OPĆI DIO'!$C$1)</f>
        <v>2452 SVEUČILIŠTE J. J. STROSSMAYERA U OSIJEKU</v>
      </c>
      <c r="L33" s="40" t="str">
        <f t="shared" si="6"/>
        <v>63</v>
      </c>
      <c r="M33" s="40" t="str">
        <f t="shared" si="7"/>
        <v>639</v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>08006</v>
      </c>
      <c r="B34" s="319" t="str">
        <f>IF(E34="","",VLOOKUP('OPĆI DIO'!$C$1,'OPĆI DIO'!$N$4:$W$137,9,FALSE))</f>
        <v>Sveučilišta i veleučilišta u Republici Hrvatskoj</v>
      </c>
      <c r="C34" s="83">
        <f t="shared" si="3"/>
        <v>51</v>
      </c>
      <c r="D34" s="38" t="str">
        <f t="shared" si="4"/>
        <v xml:space="preserve">Pomoći EU </v>
      </c>
      <c r="E34" s="49">
        <v>632311700</v>
      </c>
      <c r="F34" s="86" t="str">
        <f t="shared" si="5"/>
        <v>Tekuće pomoći od institucija i tijela EU - ostalo</v>
      </c>
      <c r="G34" s="81">
        <v>15000</v>
      </c>
      <c r="H34" s="81">
        <v>15000</v>
      </c>
      <c r="I34" s="81">
        <v>6445</v>
      </c>
      <c r="J34" s="49"/>
      <c r="K34" s="246" t="str">
        <f>IF(E34="","",'OPĆI DIO'!$C$1)</f>
        <v>2452 SVEUČILIŠTE J. J. STROSSMAYERA U OSIJEKU</v>
      </c>
      <c r="L34" s="40" t="str">
        <f t="shared" si="6"/>
        <v>63</v>
      </c>
      <c r="M34" s="40" t="str">
        <f t="shared" si="7"/>
        <v>632</v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>08006</v>
      </c>
      <c r="B35" s="319" t="str">
        <f>IF(E35="","",VLOOKUP('OPĆI DIO'!$C$1,'OPĆI DIO'!$N$4:$W$137,9,FALSE))</f>
        <v>Sveučilišta i veleučilišta u Republici Hrvatskoj</v>
      </c>
      <c r="C35" s="83">
        <f t="shared" si="3"/>
        <v>11</v>
      </c>
      <c r="D35" s="38" t="str">
        <f t="shared" si="4"/>
        <v>Opći prihodi i primici</v>
      </c>
      <c r="E35" s="372" t="s">
        <v>642</v>
      </c>
      <c r="F35" s="86" t="str">
        <f t="shared" si="5"/>
        <v>Prihodi iz nadležnog proračuna za financiranje redovne djelatnosti proračunskih korisnika</v>
      </c>
      <c r="G35" s="224">
        <v>1081417</v>
      </c>
      <c r="H35" s="224">
        <v>1086712</v>
      </c>
      <c r="I35" s="224">
        <v>1092111</v>
      </c>
      <c r="J35" s="49"/>
      <c r="K35" s="246" t="str">
        <f>IF(E35="","",'OPĆI DIO'!$C$1)</f>
        <v>2452 SVEUČILIŠTE J. J. STROSSMAYERA U OSIJEKU</v>
      </c>
      <c r="L35" s="40" t="str">
        <f t="shared" si="6"/>
        <v>67</v>
      </c>
      <c r="M35" s="40" t="str">
        <f t="shared" si="7"/>
        <v>671</v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>08006</v>
      </c>
      <c r="B36" s="319" t="str">
        <f>IF(E36="","",VLOOKUP('OPĆI DIO'!$C$1,'OPĆI DIO'!$N$4:$W$137,9,FALSE))</f>
        <v>Sveučilišta i veleučilišta u Republici Hrvatskoj</v>
      </c>
      <c r="C36" s="83">
        <f t="shared" si="3"/>
        <v>11</v>
      </c>
      <c r="D36" s="38" t="str">
        <f t="shared" si="4"/>
        <v>Opći prihodi i primici</v>
      </c>
      <c r="E36" s="372" t="s">
        <v>642</v>
      </c>
      <c r="F36" s="86" t="str">
        <f t="shared" si="5"/>
        <v>Prihodi iz nadležnog proračuna za financiranje redovne djelatnosti proračunskih korisnika</v>
      </c>
      <c r="G36" s="224">
        <v>9091</v>
      </c>
      <c r="H36" s="224">
        <v>9091</v>
      </c>
      <c r="I36" s="224">
        <v>9091</v>
      </c>
      <c r="J36" s="49"/>
      <c r="K36" s="246" t="str">
        <f>IF(E36="","",'OPĆI DIO'!$C$1)</f>
        <v>2452 SVEUČILIŠTE J. J. STROSSMAYERA U OSIJEKU</v>
      </c>
      <c r="L36" s="40" t="str">
        <f t="shared" si="6"/>
        <v>67</v>
      </c>
      <c r="M36" s="40" t="str">
        <f t="shared" si="7"/>
        <v>671</v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>08006</v>
      </c>
      <c r="B37" s="319" t="str">
        <f>IF(E37="","",VLOOKUP('OPĆI DIO'!$C$1,'OPĆI DIO'!$N$4:$W$137,9,FALSE))</f>
        <v>Sveučilišta i veleučilišta u Republici Hrvatskoj</v>
      </c>
      <c r="C37" s="83">
        <f t="shared" si="3"/>
        <v>11</v>
      </c>
      <c r="D37" s="38" t="str">
        <f t="shared" si="4"/>
        <v>Opći prihodi i primici</v>
      </c>
      <c r="E37" s="372" t="s">
        <v>642</v>
      </c>
      <c r="F37" s="86" t="str">
        <f t="shared" si="5"/>
        <v>Prihodi iz nadležnog proračuna za financiranje redovne djelatnosti proračunskih korisnika</v>
      </c>
      <c r="G37" s="224">
        <v>47490</v>
      </c>
      <c r="H37" s="224">
        <v>47490</v>
      </c>
      <c r="I37" s="224">
        <v>47490</v>
      </c>
      <c r="J37" s="49"/>
      <c r="K37" s="246" t="str">
        <f>IF(E37="","",'OPĆI DIO'!$C$1)</f>
        <v>2452 SVEUČILIŠTE J. J. STROSSMAYERA U OSIJEKU</v>
      </c>
      <c r="L37" s="40" t="str">
        <f t="shared" si="6"/>
        <v>67</v>
      </c>
      <c r="M37" s="40" t="str">
        <f t="shared" si="7"/>
        <v>671</v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>08006</v>
      </c>
      <c r="B38" s="319" t="str">
        <f>IF(E38="","",VLOOKUP('OPĆI DIO'!$C$1,'OPĆI DIO'!$N$4:$W$137,9,FALSE))</f>
        <v>Sveučilišta i veleučilišta u Republici Hrvatskoj</v>
      </c>
      <c r="C38" s="83">
        <f t="shared" si="3"/>
        <v>31</v>
      </c>
      <c r="D38" s="38" t="str">
        <f t="shared" si="4"/>
        <v>Vlastiti prihodi</v>
      </c>
      <c r="E38" s="372">
        <v>6615</v>
      </c>
      <c r="F38" s="86" t="str">
        <f t="shared" si="5"/>
        <v>Prihodi od pruženih usluga</v>
      </c>
      <c r="G38" s="224">
        <v>5000</v>
      </c>
      <c r="H38" s="224">
        <v>5000</v>
      </c>
      <c r="I38" s="224">
        <v>10000</v>
      </c>
      <c r="J38" s="49"/>
      <c r="K38" s="246" t="str">
        <f>IF(E38="","",'OPĆI DIO'!$C$1)</f>
        <v>2452 SVEUČILIŠTE J. J. STROSSMAYERA U OSIJEKU</v>
      </c>
      <c r="L38" s="40" t="str">
        <f t="shared" si="6"/>
        <v>66</v>
      </c>
      <c r="M38" s="40" t="str">
        <f t="shared" si="7"/>
        <v>661</v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>08006</v>
      </c>
      <c r="B39" s="319" t="str">
        <f>IF(E39="","",VLOOKUP('OPĆI DIO'!$C$1,'OPĆI DIO'!$N$4:$W$137,9,FALSE))</f>
        <v>Sveučilišta i veleučilišta u Republici Hrvatskoj</v>
      </c>
      <c r="C39" s="83">
        <f t="shared" si="3"/>
        <v>31</v>
      </c>
      <c r="D39" s="38" t="str">
        <f t="shared" si="4"/>
        <v>Vlastiti prihodi</v>
      </c>
      <c r="E39" s="372">
        <v>641310031</v>
      </c>
      <c r="F39" s="86" t="str">
        <f t="shared" si="5"/>
        <v>Kamate na oročena sredstva izvor 31</v>
      </c>
      <c r="G39" s="224">
        <v>20</v>
      </c>
      <c r="H39" s="224">
        <v>20</v>
      </c>
      <c r="I39" s="224">
        <v>20</v>
      </c>
      <c r="J39" s="49"/>
      <c r="K39" s="246" t="str">
        <f>IF(E39="","",'OPĆI DIO'!$C$1)</f>
        <v>2452 SVEUČILIŠTE J. J. STROSSMAYERA U OSIJEKU</v>
      </c>
      <c r="L39" s="40" t="str">
        <f t="shared" si="6"/>
        <v>64</v>
      </c>
      <c r="M39" s="40" t="str">
        <f t="shared" si="7"/>
        <v>641</v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>08006</v>
      </c>
      <c r="B40" s="319" t="str">
        <f>IF(E40="","",VLOOKUP('OPĆI DIO'!$C$1,'OPĆI DIO'!$N$4:$W$137,9,FALSE))</f>
        <v>Sveučilišta i veleučilišta u Republici Hrvatskoj</v>
      </c>
      <c r="C40" s="83">
        <f t="shared" si="3"/>
        <v>43</v>
      </c>
      <c r="D40" s="38" t="str">
        <f t="shared" si="4"/>
        <v>Ostali prihodi za posebne namjene</v>
      </c>
      <c r="E40" s="372">
        <v>65264</v>
      </c>
      <c r="F40" s="86" t="str">
        <f t="shared" si="5"/>
        <v>Sufinanciranje cijene usluge, participacije i slično</v>
      </c>
      <c r="G40" s="224">
        <v>25000</v>
      </c>
      <c r="H40" s="224">
        <v>25000</v>
      </c>
      <c r="I40" s="224">
        <v>25000</v>
      </c>
      <c r="J40" s="49"/>
      <c r="K40" s="246" t="str">
        <f>IF(E40="","",'OPĆI DIO'!$C$1)</f>
        <v>2452 SVEUČILIŠTE J. J. STROSSMAYERA U OSIJEKU</v>
      </c>
      <c r="L40" s="40" t="str">
        <f t="shared" si="6"/>
        <v>65</v>
      </c>
      <c r="M40" s="40" t="str">
        <f t="shared" si="7"/>
        <v>652</v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>08006</v>
      </c>
      <c r="B41" s="319" t="str">
        <f>IF(E41="","",VLOOKUP('OPĆI DIO'!$C$1,'OPĆI DIO'!$N$4:$W$137,9,FALSE))</f>
        <v>Sveučilišta i veleučilišta u Republici Hrvatskoj</v>
      </c>
      <c r="C41" s="83">
        <f t="shared" si="3"/>
        <v>52</v>
      </c>
      <c r="D41" s="38" t="str">
        <f t="shared" si="4"/>
        <v xml:space="preserve">Ostale pomoći i darovnice </v>
      </c>
      <c r="E41" s="372">
        <v>6381</v>
      </c>
      <c r="F41" s="86" t="str">
        <f t="shared" si="5"/>
        <v>Tekuće pomoći temeljem prijenosa EU sredstava iz proračuna JLP(R)S, korisnika JLPRS ili izvanproračunskog korisnika</v>
      </c>
      <c r="G41" s="224">
        <v>2097</v>
      </c>
      <c r="H41" s="224"/>
      <c r="I41" s="224"/>
      <c r="J41" s="49"/>
      <c r="K41" s="246" t="str">
        <f>IF(E41="","",'OPĆI DIO'!$C$1)</f>
        <v>2452 SVEUČILIŠTE J. J. STROSSMAYERA U OSIJEKU</v>
      </c>
      <c r="L41" s="40" t="str">
        <f t="shared" si="6"/>
        <v>63</v>
      </c>
      <c r="M41" s="40" t="str">
        <f t="shared" si="7"/>
        <v>638</v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>08006</v>
      </c>
      <c r="B42" s="319" t="str">
        <f>IF(E42="","",VLOOKUP('OPĆI DIO'!$C$1,'OPĆI DIO'!$N$4:$W$137,9,FALSE))</f>
        <v>Sveučilišta i veleučilišta u Republici Hrvatskoj</v>
      </c>
      <c r="C42" s="83">
        <f t="shared" si="3"/>
        <v>52</v>
      </c>
      <c r="D42" s="38" t="str">
        <f t="shared" si="4"/>
        <v xml:space="preserve">Ostale pomoći i darovnice </v>
      </c>
      <c r="E42" s="376">
        <v>6381</v>
      </c>
      <c r="F42" s="86" t="str">
        <f t="shared" si="5"/>
        <v>Tekuće pomoći temeljem prijenosa EU sredstava iz proračuna JLP(R)S, korisnika JLPRS ili izvanproračunskog korisnika</v>
      </c>
      <c r="G42" s="224">
        <v>370</v>
      </c>
      <c r="H42" s="224"/>
      <c r="I42" s="224"/>
      <c r="J42" s="49"/>
      <c r="K42" s="246" t="str">
        <f>IF(E42="","",'OPĆI DIO'!$C$1)</f>
        <v>2452 SVEUČILIŠTE J. J. STROSSMAYERA U OSIJEKU</v>
      </c>
      <c r="L42" s="40" t="str">
        <f t="shared" si="6"/>
        <v>63</v>
      </c>
      <c r="M42" s="40" t="str">
        <f t="shared" si="7"/>
        <v>638</v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>08006</v>
      </c>
      <c r="B43" s="319" t="str">
        <f>IF(E43="","",VLOOKUP('OPĆI DIO'!$C$1,'OPĆI DIO'!$N$4:$W$137,9,FALSE))</f>
        <v>Sveučilišta i veleučilišta u Republici Hrvatskoj</v>
      </c>
      <c r="C43" s="83">
        <f t="shared" si="3"/>
        <v>52</v>
      </c>
      <c r="D43" s="38" t="str">
        <f t="shared" si="4"/>
        <v xml:space="preserve">Ostale pomoći i darovnice </v>
      </c>
      <c r="E43" s="376">
        <v>6391</v>
      </c>
      <c r="F43" s="86" t="str">
        <f t="shared" si="5"/>
        <v>Tekući prijenosi između proračunskih korisnika istog proračuna</v>
      </c>
      <c r="G43" s="224">
        <v>24000</v>
      </c>
      <c r="H43" s="224">
        <v>24000</v>
      </c>
      <c r="I43" s="224">
        <v>5000</v>
      </c>
      <c r="J43" s="49" t="s">
        <v>4832</v>
      </c>
      <c r="K43" s="246" t="str">
        <f>IF(E43="","",'OPĆI DIO'!$C$1)</f>
        <v>2452 SVEUČILIŠTE J. J. STROSSMAYERA U OSIJEKU</v>
      </c>
      <c r="L43" s="40" t="str">
        <f t="shared" si="6"/>
        <v>63</v>
      </c>
      <c r="M43" s="40" t="str">
        <f t="shared" si="7"/>
        <v>639</v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3:J25 J27:J32 J34:J42 J44:J501">
    <cfRule type="expression" dxfId="4" priority="5">
      <formula>IF(OR(E3=6391,E3=6392,E3=6393,E3=6394),1,0)</formula>
    </cfRule>
  </conditionalFormatting>
  <conditionalFormatting sqref="J26">
    <cfRule type="expression" dxfId="3" priority="3">
      <formula>IF(OR(E26=6391,E26=6392,E26=6393,E26=6394),1,0)</formula>
    </cfRule>
  </conditionalFormatting>
  <conditionalFormatting sqref="J33">
    <cfRule type="expression" dxfId="2" priority="2">
      <formula>IF(OR(E33=6391,E33=6392,E33=6393,E33=6394),1,0)</formula>
    </cfRule>
  </conditionalFormatting>
  <conditionalFormatting sqref="J43">
    <cfRule type="expression" dxfId="1" priority="1">
      <formula>IF(OR(E43=6391,E43=6392,E43=6393,E43=6394),1,0)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7"/>
  <sheetViews>
    <sheetView showGridLines="0" zoomScale="85" zoomScaleNormal="85" workbookViewId="0">
      <pane ySplit="2" topLeftCell="A283" activePane="bottomLeft" state="frozen"/>
      <selection pane="bottomLeft" activeCell="J304" sqref="J304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90" t="s">
        <v>4041</v>
      </c>
      <c r="B1" s="390"/>
      <c r="C1" s="390"/>
      <c r="D1" s="390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82" t="s">
        <v>60</v>
      </c>
      <c r="H3" s="45" t="str">
        <f>IFERROR(VLOOKUP(G3,$AC$6:$AD$344,2,FALSE),"")</f>
        <v>REDOVNA DJELATNOST SVEUČILIŠTA U OSIJEKU</v>
      </c>
      <c r="I3" s="45" t="str">
        <f>IFERROR(VLOOKUP(G3,$AC$6:$AG$344,3,FALSE),"")</f>
        <v>0942</v>
      </c>
      <c r="J3" s="81">
        <v>1662837</v>
      </c>
      <c r="K3" s="224">
        <v>1670988</v>
      </c>
      <c r="L3" s="224">
        <v>1674360</v>
      </c>
      <c r="M3" s="49"/>
      <c r="N3" s="246" t="str">
        <f>IF(C3="","",'OPĆI DIO'!$C$1)</f>
        <v>2452 SVEUČILIŠTE J. J. STROSSMAYERA U OSIJEKU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3114</v>
      </c>
      <c r="F4" s="45" t="str">
        <f t="shared" ref="F4:F67" si="2">IFERROR(VLOOKUP(E4,$W$5:$Y$129,2,FALSE),"")</f>
        <v>Plaće za posebne uvjete rada</v>
      </c>
      <c r="G4" s="82" t="s">
        <v>60</v>
      </c>
      <c r="H4" s="45" t="str">
        <f t="shared" ref="H4:H67" si="3">IFERROR(VLOOKUP(G4,$AC$6:$AD$344,2,FALSE),"")</f>
        <v>REDOVNA DJELATNOST SVEUČILIŠTA U OSIJEKU</v>
      </c>
      <c r="I4" s="45" t="str">
        <f t="shared" ref="I4:I67" si="4">IFERROR(VLOOKUP(G4,$AC$6:$AG$344,3,FALSE),"")</f>
        <v>0942</v>
      </c>
      <c r="J4" s="81">
        <v>0</v>
      </c>
      <c r="K4" s="224">
        <v>0</v>
      </c>
      <c r="L4" s="224">
        <v>0</v>
      </c>
      <c r="M4" s="49"/>
      <c r="N4" s="246" t="str">
        <f>IF(C4="","",'OPĆI DIO'!$C$1)</f>
        <v>2452 SVEUČILIŠTE J. J. STROSSMAYERA U OSIJEKU</v>
      </c>
      <c r="O4" s="40" t="str">
        <f t="shared" ref="O4:O67" si="5">LEFT(E4,3)</f>
        <v>311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3121</v>
      </c>
      <c r="F5" s="45" t="str">
        <f t="shared" si="2"/>
        <v>Ostali rashodi za zaposlene</v>
      </c>
      <c r="G5" s="82" t="s">
        <v>60</v>
      </c>
      <c r="H5" s="45" t="str">
        <f t="shared" si="3"/>
        <v>REDOVNA DJELATNOST SVEUČILIŠTA U OSIJEKU</v>
      </c>
      <c r="I5" s="45" t="str">
        <f t="shared" si="4"/>
        <v>0942</v>
      </c>
      <c r="J5" s="368">
        <v>42950</v>
      </c>
      <c r="K5" s="224">
        <v>43161</v>
      </c>
      <c r="L5" s="224">
        <v>43370</v>
      </c>
      <c r="M5" s="49"/>
      <c r="N5" s="246" t="str">
        <f>IF(C5="","",'OPĆI DIO'!$C$1)</f>
        <v>2452 SVEUČILIŠTE J. J. STROSSMAYERA U OSIJEKU</v>
      </c>
      <c r="O5" s="40" t="str">
        <f t="shared" si="5"/>
        <v>312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3132</v>
      </c>
      <c r="F6" s="45" t="str">
        <f t="shared" si="2"/>
        <v>Doprinosi za obvezno zdravstveno osiguranje</v>
      </c>
      <c r="G6" s="82" t="s">
        <v>60</v>
      </c>
      <c r="H6" s="45" t="str">
        <f t="shared" si="3"/>
        <v>REDOVNA DJELATNOST SVEUČILIŠTA U OSIJEKU</v>
      </c>
      <c r="I6" s="45" t="str">
        <f t="shared" si="4"/>
        <v>0942</v>
      </c>
      <c r="J6" s="81">
        <v>244290</v>
      </c>
      <c r="K6" s="224">
        <v>245484</v>
      </c>
      <c r="L6" s="224">
        <v>246690</v>
      </c>
      <c r="M6" s="49"/>
      <c r="N6" s="246" t="str">
        <f>IF(C6="","",'OPĆI DIO'!$C$1)</f>
        <v>2452 SVEUČILIŠTE J. J. STROSSMAYERA U OSIJEKU</v>
      </c>
      <c r="O6" s="40" t="str">
        <f t="shared" si="5"/>
        <v>313</v>
      </c>
      <c r="P6" s="40" t="str">
        <f t="shared" si="6"/>
        <v>31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3212</v>
      </c>
      <c r="F7" s="45" t="str">
        <f t="shared" si="2"/>
        <v>Naknade za prijevoz, za rad na terenu i odvojeni život</v>
      </c>
      <c r="G7" s="82" t="s">
        <v>60</v>
      </c>
      <c r="H7" s="45" t="str">
        <f t="shared" si="3"/>
        <v>REDOVNA DJELATNOST SVEUČILIŠTA U OSIJEKU</v>
      </c>
      <c r="I7" s="45" t="str">
        <f t="shared" si="4"/>
        <v>0942</v>
      </c>
      <c r="J7" s="368">
        <v>20265</v>
      </c>
      <c r="K7" s="224">
        <v>20364</v>
      </c>
      <c r="L7" s="224">
        <v>20464</v>
      </c>
      <c r="M7" s="49"/>
      <c r="N7" s="246" t="str">
        <f>IF(C7="","",'OPĆI DIO'!$C$1)</f>
        <v>2452 SVEUČILIŠTE J. J. STROSSMAYERA U OSIJEKU</v>
      </c>
      <c r="O7" s="40" t="str">
        <f t="shared" si="5"/>
        <v>321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3236</v>
      </c>
      <c r="F8" s="45" t="str">
        <f t="shared" si="2"/>
        <v>Zdravstvene i veterinarske usluge</v>
      </c>
      <c r="G8" s="82" t="s">
        <v>60</v>
      </c>
      <c r="H8" s="45" t="str">
        <f t="shared" si="3"/>
        <v>REDOVNA DJELATNOST SVEUČILIŠTA U OSIJEKU</v>
      </c>
      <c r="I8" s="45" t="str">
        <f t="shared" si="4"/>
        <v>0942</v>
      </c>
      <c r="J8" s="81">
        <v>7112</v>
      </c>
      <c r="K8" s="224">
        <v>7147</v>
      </c>
      <c r="L8" s="224">
        <v>7182</v>
      </c>
      <c r="M8" s="49"/>
      <c r="N8" s="246" t="str">
        <f>IF(C8="","",'OPĆI DIO'!$C$1)</f>
        <v>2452 SVEUČILIŠTE J. J. STROSSMAYERA U OSIJEKU</v>
      </c>
      <c r="O8" s="40" t="str">
        <f t="shared" si="5"/>
        <v>323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3295</v>
      </c>
      <c r="F9" s="45" t="str">
        <f t="shared" si="2"/>
        <v>Pristojbe i naknade</v>
      </c>
      <c r="G9" s="82" t="s">
        <v>60</v>
      </c>
      <c r="H9" s="45" t="str">
        <f t="shared" si="3"/>
        <v>REDOVNA DJELATNOST SVEUČILIŠTA U OSIJEKU</v>
      </c>
      <c r="I9" s="45" t="str">
        <f t="shared" si="4"/>
        <v>0942</v>
      </c>
      <c r="J9" s="81">
        <v>4910</v>
      </c>
      <c r="K9" s="224">
        <v>4934</v>
      </c>
      <c r="L9" s="224">
        <v>4957</v>
      </c>
      <c r="M9" s="49"/>
      <c r="N9" s="246" t="str">
        <f>IF(C9="","",'OPĆI DIO'!$C$1)</f>
        <v>2452 SVEUČILIŠTE J. J. STROSSMAYERA U OSIJEKU</v>
      </c>
      <c r="O9" s="40" t="str">
        <f t="shared" si="5"/>
        <v>329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3811</v>
      </c>
      <c r="F10" s="45" t="str">
        <f t="shared" si="2"/>
        <v>Tekuće donacije u novcu</v>
      </c>
      <c r="G10" s="82" t="s">
        <v>60</v>
      </c>
      <c r="H10" s="45" t="str">
        <f t="shared" si="3"/>
        <v>REDOVNA DJELATNOST SVEUČILIŠTA U OSIJEKU</v>
      </c>
      <c r="I10" s="45" t="str">
        <f t="shared" si="4"/>
        <v>0942</v>
      </c>
      <c r="J10" s="369">
        <v>75012</v>
      </c>
      <c r="K10" s="224">
        <v>75012</v>
      </c>
      <c r="L10" s="224">
        <v>75012</v>
      </c>
      <c r="M10" s="49"/>
      <c r="N10" s="246" t="str">
        <f>IF(C10="","",'OPĆI DIO'!$C$1)</f>
        <v>2452 SVEUČILIŠTE J. J. STROSSMAYERA U OSIJEKU</v>
      </c>
      <c r="O10" s="40" t="str">
        <f t="shared" si="5"/>
        <v>381</v>
      </c>
      <c r="P10" s="40" t="str">
        <f t="shared" si="6"/>
        <v>38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3111</v>
      </c>
      <c r="F11" s="45" t="str">
        <f t="shared" si="2"/>
        <v>Plaće za redovan rad</v>
      </c>
      <c r="G11" s="82" t="s">
        <v>1432</v>
      </c>
      <c r="H11" s="45" t="str">
        <f t="shared" si="3"/>
        <v>PRAVOMOĆNE SUDSKE PRESUDE</v>
      </c>
      <c r="I11" s="45" t="str">
        <f t="shared" si="4"/>
        <v>0942</v>
      </c>
      <c r="J11" s="81">
        <v>15000</v>
      </c>
      <c r="K11" s="224">
        <v>15000</v>
      </c>
      <c r="L11" s="224">
        <v>15000</v>
      </c>
      <c r="M11" s="49"/>
      <c r="N11" s="246" t="str">
        <f>IF(C11="","",'OPĆI DIO'!$C$1)</f>
        <v>2452 SVEUČILIŠTE J. J. STROSSMAYERA U OSIJEKU</v>
      </c>
      <c r="O11" s="40" t="str">
        <f t="shared" si="5"/>
        <v>311</v>
      </c>
      <c r="P11" s="40" t="str">
        <f t="shared" si="6"/>
        <v>31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3111</v>
      </c>
      <c r="F12" s="45" t="str">
        <f t="shared" si="2"/>
        <v>Plaće za redovan rad</v>
      </c>
      <c r="G12" s="82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81">
        <v>91000</v>
      </c>
      <c r="K12" s="224">
        <v>91000</v>
      </c>
      <c r="L12" s="224">
        <v>91000</v>
      </c>
      <c r="M12" s="49"/>
      <c r="N12" s="246" t="str">
        <f>IF(C12="","",'OPĆI DIO'!$C$1)</f>
        <v>2452 SVEUČILIŠTE J. J. STROSSMAYERA U OSIJEKU</v>
      </c>
      <c r="O12" s="40" t="str">
        <f t="shared" si="5"/>
        <v>311</v>
      </c>
      <c r="P12" s="40" t="str">
        <f t="shared" si="6"/>
        <v>31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3113</v>
      </c>
      <c r="F13" s="45" t="str">
        <f t="shared" si="2"/>
        <v>Plaće za prekovremeni rad</v>
      </c>
      <c r="G13" s="82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368">
        <v>1200</v>
      </c>
      <c r="K13" s="224">
        <v>1200</v>
      </c>
      <c r="L13" s="224">
        <v>1200</v>
      </c>
      <c r="M13" s="49"/>
      <c r="N13" s="246" t="str">
        <f>IF(C13="","",'OPĆI DIO'!$C$1)</f>
        <v>2452 SVEUČILIŠTE J. J. STROSSMAYERA U OSIJEKU</v>
      </c>
      <c r="O13" s="40" t="str">
        <f t="shared" si="5"/>
        <v>311</v>
      </c>
      <c r="P13" s="40" t="str">
        <f t="shared" si="6"/>
        <v>31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3121</v>
      </c>
      <c r="F14" s="45" t="str">
        <f t="shared" si="2"/>
        <v>Ostali rashodi za zaposlene</v>
      </c>
      <c r="G14" s="82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368">
        <v>145000</v>
      </c>
      <c r="K14" s="224">
        <v>145000</v>
      </c>
      <c r="L14" s="224">
        <v>145000</v>
      </c>
      <c r="M14" s="49"/>
      <c r="N14" s="246" t="str">
        <f>IF(C14="","",'OPĆI DIO'!$C$1)</f>
        <v>2452 SVEUČILIŠTE J. J. STROSSMAYERA U OSIJEKU</v>
      </c>
      <c r="O14" s="40" t="str">
        <f t="shared" si="5"/>
        <v>312</v>
      </c>
      <c r="P14" s="40" t="str">
        <f t="shared" si="6"/>
        <v>31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3132</v>
      </c>
      <c r="F15" s="45" t="str">
        <f t="shared" si="2"/>
        <v>Doprinosi za obvezno zdravstveno osiguranje</v>
      </c>
      <c r="G15" s="82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368">
        <v>8000</v>
      </c>
      <c r="K15" s="224">
        <v>8000</v>
      </c>
      <c r="L15" s="224">
        <v>8000</v>
      </c>
      <c r="M15" s="49"/>
      <c r="N15" s="246" t="str">
        <f>IF(C15="","",'OPĆI DIO'!$C$1)</f>
        <v>2452 SVEUČILIŠTE J. J. STROSSMAYERA U OSIJEKU</v>
      </c>
      <c r="O15" s="40" t="str">
        <f t="shared" si="5"/>
        <v>313</v>
      </c>
      <c r="P15" s="40" t="str">
        <f t="shared" si="6"/>
        <v>31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3211</v>
      </c>
      <c r="F16" s="45" t="str">
        <f t="shared" si="2"/>
        <v>Službena putovanja</v>
      </c>
      <c r="G16" s="82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81">
        <v>40000</v>
      </c>
      <c r="K16" s="224">
        <v>40000</v>
      </c>
      <c r="L16" s="224">
        <v>40000</v>
      </c>
      <c r="M16" s="49"/>
      <c r="N16" s="246" t="str">
        <f>IF(C16="","",'OPĆI DIO'!$C$1)</f>
        <v>2452 SVEUČILIŠTE J. J. STROSSMAYERA U OSIJEKU</v>
      </c>
      <c r="O16" s="40" t="str">
        <f t="shared" si="5"/>
        <v>321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3213</v>
      </c>
      <c r="F17" s="45" t="str">
        <f t="shared" si="2"/>
        <v>Stručno usavršavanje zaposlenika</v>
      </c>
      <c r="G17" s="82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81">
        <v>2000</v>
      </c>
      <c r="K17" s="224">
        <v>2000</v>
      </c>
      <c r="L17" s="224">
        <v>2000</v>
      </c>
      <c r="M17" s="49"/>
      <c r="N17" s="246" t="str">
        <f>IF(C17="","",'OPĆI DIO'!$C$1)</f>
        <v>2452 SVEUČILIŠTE J. J. STROSSMAYERA U OSIJEKU</v>
      </c>
      <c r="O17" s="40" t="str">
        <f t="shared" si="5"/>
        <v>321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3221</v>
      </c>
      <c r="F18" s="45" t="str">
        <f t="shared" si="2"/>
        <v>Uredski materijal i ostali materijalni rashodi</v>
      </c>
      <c r="G18" s="82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81">
        <v>30000</v>
      </c>
      <c r="K18" s="224">
        <v>30000</v>
      </c>
      <c r="L18" s="224">
        <v>30000</v>
      </c>
      <c r="M18" s="49"/>
      <c r="N18" s="246" t="str">
        <f>IF(C18="","",'OPĆI DIO'!$C$1)</f>
        <v>2452 SVEUČILIŠTE J. J. STROSSMAYERA U OSIJEKU</v>
      </c>
      <c r="O18" s="40" t="str">
        <f t="shared" si="5"/>
        <v>322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3223</v>
      </c>
      <c r="F19" s="45" t="str">
        <f t="shared" si="2"/>
        <v>Energija</v>
      </c>
      <c r="G19" s="82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81">
        <v>250000</v>
      </c>
      <c r="K19" s="224">
        <v>250000</v>
      </c>
      <c r="L19" s="224">
        <v>250000</v>
      </c>
      <c r="M19" s="49"/>
      <c r="N19" s="246" t="str">
        <f>IF(C19="","",'OPĆI DIO'!$C$1)</f>
        <v>2452 SVEUČILIŠTE J. J. STROSSMAYERA U OSIJEKU</v>
      </c>
      <c r="O19" s="40" t="str">
        <f t="shared" si="5"/>
        <v>322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3224</v>
      </c>
      <c r="F20" s="45" t="str">
        <f t="shared" si="2"/>
        <v>Materijal i dijelovi za tekuće i investicijsko održavanje</v>
      </c>
      <c r="G20" s="82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81">
        <v>1000</v>
      </c>
      <c r="K20" s="224">
        <v>1000</v>
      </c>
      <c r="L20" s="224">
        <v>1000</v>
      </c>
      <c r="M20" s="49"/>
      <c r="N20" s="246" t="str">
        <f>IF(C20="","",'OPĆI DIO'!$C$1)</f>
        <v>2452 SVEUČILIŠTE J. J. STROSSMAYERA U OSIJEKU</v>
      </c>
      <c r="O20" s="40" t="str">
        <f t="shared" si="5"/>
        <v>322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3225</v>
      </c>
      <c r="F21" s="45" t="str">
        <f t="shared" si="2"/>
        <v>Sitni inventar i auto gume</v>
      </c>
      <c r="G21" s="82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81">
        <v>7000</v>
      </c>
      <c r="K21" s="224">
        <v>7000</v>
      </c>
      <c r="L21" s="224">
        <v>7000</v>
      </c>
      <c r="M21" s="49"/>
      <c r="N21" s="246" t="str">
        <f>IF(C21="","",'OPĆI DIO'!$C$1)</f>
        <v>2452 SVEUČILIŠTE J. J. STROSSMAYERA U OSIJEKU</v>
      </c>
      <c r="O21" s="40" t="str">
        <f t="shared" si="5"/>
        <v>322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3227</v>
      </c>
      <c r="F22" s="45" t="str">
        <f t="shared" si="2"/>
        <v>Službena, radna i zaštitna odjeća i obuća</v>
      </c>
      <c r="G22" s="82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81">
        <v>8000</v>
      </c>
      <c r="K22" s="224">
        <v>8000</v>
      </c>
      <c r="L22" s="224">
        <v>8000</v>
      </c>
      <c r="M22" s="49"/>
      <c r="N22" s="246" t="str">
        <f>IF(C22="","",'OPĆI DIO'!$C$1)</f>
        <v>2452 SVEUČILIŠTE J. J. STROSSMAYERA U OSIJEKU</v>
      </c>
      <c r="O22" s="40" t="str">
        <f t="shared" si="5"/>
        <v>322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3231</v>
      </c>
      <c r="F23" s="45" t="str">
        <f t="shared" si="2"/>
        <v>Usluge telefona, pošte i prijevoza</v>
      </c>
      <c r="G23" s="82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81">
        <v>20000</v>
      </c>
      <c r="K23" s="224">
        <v>20000</v>
      </c>
      <c r="L23" s="224">
        <v>20000</v>
      </c>
      <c r="M23" s="49"/>
      <c r="N23" s="246" t="str">
        <f>IF(C23="","",'OPĆI DIO'!$C$1)</f>
        <v>2452 SVEUČILIŠTE J. J. STROSSMAYERA U OSIJEKU</v>
      </c>
      <c r="O23" s="40" t="str">
        <f t="shared" si="5"/>
        <v>323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3232</v>
      </c>
      <c r="F24" s="45" t="str">
        <f t="shared" si="2"/>
        <v>Usluge tekućeg i investicijskog održavanja</v>
      </c>
      <c r="G24" s="82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81">
        <v>50000</v>
      </c>
      <c r="K24" s="224">
        <v>50000</v>
      </c>
      <c r="L24" s="224">
        <v>50000</v>
      </c>
      <c r="M24" s="49"/>
      <c r="N24" s="246" t="str">
        <f>IF(C24="","",'OPĆI DIO'!$C$1)</f>
        <v>2452 SVEUČILIŠTE J. J. STROSSMAYERA U OSIJEKU</v>
      </c>
      <c r="O24" s="40" t="str">
        <f t="shared" si="5"/>
        <v>323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3233</v>
      </c>
      <c r="F25" s="45" t="str">
        <f t="shared" si="2"/>
        <v>Usluge promidžbe i informiranja</v>
      </c>
      <c r="G25" s="82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81">
        <v>20000</v>
      </c>
      <c r="K25" s="224">
        <v>20000</v>
      </c>
      <c r="L25" s="224">
        <v>20000</v>
      </c>
      <c r="M25" s="49"/>
      <c r="N25" s="246" t="str">
        <f>IF(C25="","",'OPĆI DIO'!$C$1)</f>
        <v>2452 SVEUČILIŠTE J. J. STROSSMAYERA U OSIJEKU</v>
      </c>
      <c r="O25" s="40" t="str">
        <f t="shared" si="5"/>
        <v>323</v>
      </c>
      <c r="P25" s="40" t="str">
        <f t="shared" si="6"/>
        <v>32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50">
        <v>3234</v>
      </c>
      <c r="F26" s="45" t="str">
        <f t="shared" si="2"/>
        <v>Komunalne usluge</v>
      </c>
      <c r="G26" s="82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81">
        <v>7000</v>
      </c>
      <c r="K26" s="224">
        <v>7000</v>
      </c>
      <c r="L26" s="224">
        <v>7000</v>
      </c>
      <c r="M26" s="49"/>
      <c r="N26" s="246" t="str">
        <f>IF(C26="","",'OPĆI DIO'!$C$1)</f>
        <v>2452 SVEUČILIŠTE J. J. STROSSMAYERA U OSIJEKU</v>
      </c>
      <c r="O26" s="40" t="str">
        <f t="shared" si="5"/>
        <v>323</v>
      </c>
      <c r="P26" s="40" t="str">
        <f t="shared" si="6"/>
        <v>32</v>
      </c>
      <c r="Q26" s="40" t="str">
        <f t="shared" si="7"/>
        <v>11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3235</v>
      </c>
      <c r="F27" s="45" t="str">
        <f t="shared" si="2"/>
        <v>Zakupnine i najamnine</v>
      </c>
      <c r="G27" s="82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81">
        <v>20000</v>
      </c>
      <c r="K27" s="224">
        <v>20000</v>
      </c>
      <c r="L27" s="224">
        <v>20000</v>
      </c>
      <c r="M27" s="49"/>
      <c r="N27" s="246" t="str">
        <f>IF(C27="","",'OPĆI DIO'!$C$1)</f>
        <v>2452 SVEUČILIŠTE J. J. STROSSMAYERA U OSIJEKU</v>
      </c>
      <c r="O27" s="40" t="str">
        <f t="shared" si="5"/>
        <v>323</v>
      </c>
      <c r="P27" s="40" t="str">
        <f t="shared" si="6"/>
        <v>32</v>
      </c>
      <c r="Q27" s="40" t="str">
        <f t="shared" si="7"/>
        <v>11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11</v>
      </c>
      <c r="D28" s="45" t="str">
        <f t="shared" si="1"/>
        <v>Opći prihodi i primici</v>
      </c>
      <c r="E28" s="50">
        <v>3236</v>
      </c>
      <c r="F28" s="45" t="str">
        <f t="shared" si="2"/>
        <v>Zdravstvene i veterinarske usluge</v>
      </c>
      <c r="G28" s="82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81">
        <v>35000</v>
      </c>
      <c r="K28" s="224">
        <v>35000</v>
      </c>
      <c r="L28" s="224">
        <v>35000</v>
      </c>
      <c r="M28" s="49"/>
      <c r="N28" s="246" t="str">
        <f>IF(C28="","",'OPĆI DIO'!$C$1)</f>
        <v>2452 SVEUČILIŠTE J. J. STROSSMAYERA U OSIJEKU</v>
      </c>
      <c r="O28" s="40" t="str">
        <f t="shared" si="5"/>
        <v>323</v>
      </c>
      <c r="P28" s="40" t="str">
        <f t="shared" si="6"/>
        <v>32</v>
      </c>
      <c r="Q28" s="40" t="str">
        <f t="shared" si="7"/>
        <v>11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11</v>
      </c>
      <c r="D29" s="45" t="str">
        <f t="shared" si="1"/>
        <v>Opći prihodi i primici</v>
      </c>
      <c r="E29" s="50">
        <v>3237</v>
      </c>
      <c r="F29" s="45" t="str">
        <f t="shared" si="2"/>
        <v>Intelektualne i osobne usluge</v>
      </c>
      <c r="G29" s="82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81">
        <v>70000</v>
      </c>
      <c r="K29" s="224">
        <v>70000</v>
      </c>
      <c r="L29" s="224">
        <v>70000</v>
      </c>
      <c r="M29" s="49"/>
      <c r="N29" s="246" t="str">
        <f>IF(C29="","",'OPĆI DIO'!$C$1)</f>
        <v>2452 SVEUČILIŠTE J. J. STROSSMAYERA U OSIJEKU</v>
      </c>
      <c r="O29" s="40" t="str">
        <f t="shared" si="5"/>
        <v>323</v>
      </c>
      <c r="P29" s="40" t="str">
        <f t="shared" si="6"/>
        <v>32</v>
      </c>
      <c r="Q29" s="40" t="str">
        <f t="shared" si="7"/>
        <v>11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11</v>
      </c>
      <c r="D30" s="45" t="str">
        <f t="shared" si="1"/>
        <v>Opći prihodi i primici</v>
      </c>
      <c r="E30" s="50">
        <v>3238</v>
      </c>
      <c r="F30" s="45" t="str">
        <f t="shared" si="2"/>
        <v>Računalne usluge</v>
      </c>
      <c r="G30" s="82" t="s">
        <v>665</v>
      </c>
      <c r="H30" s="45" t="str">
        <f t="shared" si="3"/>
        <v>PROGRAMSKO FINANCIRANJE JAVNIH VISOKIH UČILIŠTA</v>
      </c>
      <c r="I30" s="45" t="str">
        <f t="shared" si="4"/>
        <v>0942</v>
      </c>
      <c r="J30" s="81">
        <v>10000</v>
      </c>
      <c r="K30" s="224">
        <v>10000</v>
      </c>
      <c r="L30" s="224">
        <v>10000</v>
      </c>
      <c r="M30" s="49"/>
      <c r="N30" s="246" t="str">
        <f>IF(C30="","",'OPĆI DIO'!$C$1)</f>
        <v>2452 SVEUČILIŠTE J. J. STROSSMAYERA U OSIJEKU</v>
      </c>
      <c r="O30" s="40" t="str">
        <f t="shared" si="5"/>
        <v>323</v>
      </c>
      <c r="P30" s="40" t="str">
        <f t="shared" si="6"/>
        <v>32</v>
      </c>
      <c r="Q30" s="40" t="str">
        <f t="shared" si="7"/>
        <v>11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11</v>
      </c>
      <c r="D31" s="45" t="str">
        <f t="shared" si="1"/>
        <v>Opći prihodi i primici</v>
      </c>
      <c r="E31" s="50">
        <v>3239</v>
      </c>
      <c r="F31" s="45" t="str">
        <f t="shared" si="2"/>
        <v>Ostale usluge</v>
      </c>
      <c r="G31" s="82" t="s">
        <v>665</v>
      </c>
      <c r="H31" s="45" t="str">
        <f t="shared" si="3"/>
        <v>PROGRAMSKO FINANCIRANJE JAVNIH VISOKIH UČILIŠTA</v>
      </c>
      <c r="I31" s="45" t="str">
        <f t="shared" si="4"/>
        <v>0942</v>
      </c>
      <c r="J31" s="81">
        <v>150000</v>
      </c>
      <c r="K31" s="224">
        <v>150000</v>
      </c>
      <c r="L31" s="224">
        <v>150000</v>
      </c>
      <c r="M31" s="49"/>
      <c r="N31" s="246" t="str">
        <f>IF(C31="","",'OPĆI DIO'!$C$1)</f>
        <v>2452 SVEUČILIŠTE J. J. STROSSMAYERA U OSIJEKU</v>
      </c>
      <c r="O31" s="40" t="str">
        <f t="shared" si="5"/>
        <v>323</v>
      </c>
      <c r="P31" s="40" t="str">
        <f t="shared" si="6"/>
        <v>32</v>
      </c>
      <c r="Q31" s="40" t="str">
        <f t="shared" si="7"/>
        <v>11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11</v>
      </c>
      <c r="D32" s="45" t="str">
        <f t="shared" si="1"/>
        <v>Opći prihodi i primici</v>
      </c>
      <c r="E32" s="50">
        <v>3241</v>
      </c>
      <c r="F32" s="45" t="str">
        <f t="shared" si="2"/>
        <v>Naknade troškova osobama izvan radnog odnosa</v>
      </c>
      <c r="G32" s="82" t="s">
        <v>665</v>
      </c>
      <c r="H32" s="45" t="str">
        <f t="shared" si="3"/>
        <v>PROGRAMSKO FINANCIRANJE JAVNIH VISOKIH UČILIŠTA</v>
      </c>
      <c r="I32" s="45" t="str">
        <f t="shared" si="4"/>
        <v>0942</v>
      </c>
      <c r="J32" s="81">
        <v>2000</v>
      </c>
      <c r="K32" s="224">
        <v>2000</v>
      </c>
      <c r="L32" s="224">
        <v>2000</v>
      </c>
      <c r="M32" s="49"/>
      <c r="N32" s="246" t="str">
        <f>IF(C32="","",'OPĆI DIO'!$C$1)</f>
        <v>2452 SVEUČILIŠTE J. J. STROSSMAYERA U OSIJEKU</v>
      </c>
      <c r="O32" s="40" t="str">
        <f t="shared" si="5"/>
        <v>324</v>
      </c>
      <c r="P32" s="40" t="str">
        <f t="shared" si="6"/>
        <v>32</v>
      </c>
      <c r="Q32" s="40" t="str">
        <f t="shared" si="7"/>
        <v>11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11</v>
      </c>
      <c r="D33" s="45" t="str">
        <f t="shared" si="1"/>
        <v>Opći prihodi i primici</v>
      </c>
      <c r="E33" s="50">
        <v>3292</v>
      </c>
      <c r="F33" s="45" t="str">
        <f t="shared" si="2"/>
        <v>Premije osiguranja</v>
      </c>
      <c r="G33" s="82" t="s">
        <v>665</v>
      </c>
      <c r="H33" s="45" t="str">
        <f t="shared" si="3"/>
        <v>PROGRAMSKO FINANCIRANJE JAVNIH VISOKIH UČILIŠTA</v>
      </c>
      <c r="I33" s="45" t="str">
        <f t="shared" si="4"/>
        <v>0942</v>
      </c>
      <c r="J33" s="81">
        <v>2000</v>
      </c>
      <c r="K33" s="224">
        <v>2000</v>
      </c>
      <c r="L33" s="224">
        <v>2000</v>
      </c>
      <c r="M33" s="49"/>
      <c r="N33" s="246" t="str">
        <f>IF(C33="","",'OPĆI DIO'!$C$1)</f>
        <v>2452 SVEUČILIŠTE J. J. STROSSMAYERA U OSIJEKU</v>
      </c>
      <c r="O33" s="40" t="str">
        <f t="shared" si="5"/>
        <v>329</v>
      </c>
      <c r="P33" s="40" t="str">
        <f t="shared" si="6"/>
        <v>32</v>
      </c>
      <c r="Q33" s="40" t="str">
        <f t="shared" si="7"/>
        <v>11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11</v>
      </c>
      <c r="D34" s="45" t="str">
        <f t="shared" si="1"/>
        <v>Opći prihodi i primici</v>
      </c>
      <c r="E34" s="50">
        <v>3293</v>
      </c>
      <c r="F34" s="45" t="str">
        <f t="shared" si="2"/>
        <v>Reprezentacija</v>
      </c>
      <c r="G34" s="82" t="s">
        <v>665</v>
      </c>
      <c r="H34" s="45" t="str">
        <f t="shared" si="3"/>
        <v>PROGRAMSKO FINANCIRANJE JAVNIH VISOKIH UČILIŠTA</v>
      </c>
      <c r="I34" s="45" t="str">
        <f t="shared" si="4"/>
        <v>0942</v>
      </c>
      <c r="J34" s="81">
        <v>50000</v>
      </c>
      <c r="K34" s="224">
        <v>50000</v>
      </c>
      <c r="L34" s="224">
        <v>50000</v>
      </c>
      <c r="M34" s="49"/>
      <c r="N34" s="246" t="str">
        <f>IF(C34="","",'OPĆI DIO'!$C$1)</f>
        <v>2452 SVEUČILIŠTE J. J. STROSSMAYERA U OSIJEKU</v>
      </c>
      <c r="O34" s="40" t="str">
        <f t="shared" si="5"/>
        <v>329</v>
      </c>
      <c r="P34" s="40" t="str">
        <f t="shared" si="6"/>
        <v>32</v>
      </c>
      <c r="Q34" s="40" t="str">
        <f t="shared" si="7"/>
        <v>11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11</v>
      </c>
      <c r="D35" s="45" t="str">
        <f t="shared" si="1"/>
        <v>Opći prihodi i primici</v>
      </c>
      <c r="E35" s="50">
        <v>3294</v>
      </c>
      <c r="F35" s="45" t="str">
        <f t="shared" si="2"/>
        <v>Članarine i norme</v>
      </c>
      <c r="G35" s="82" t="s">
        <v>665</v>
      </c>
      <c r="H35" s="45" t="str">
        <f t="shared" si="3"/>
        <v>PROGRAMSKO FINANCIRANJE JAVNIH VISOKIH UČILIŠTA</v>
      </c>
      <c r="I35" s="45" t="str">
        <f t="shared" si="4"/>
        <v>0942</v>
      </c>
      <c r="J35" s="81">
        <v>8000</v>
      </c>
      <c r="K35" s="224">
        <v>8000</v>
      </c>
      <c r="L35" s="224">
        <v>8000</v>
      </c>
      <c r="M35" s="49"/>
      <c r="N35" s="246" t="str">
        <f>IF(C35="","",'OPĆI DIO'!$C$1)</f>
        <v>2452 SVEUČILIŠTE J. J. STROSSMAYERA U OSIJEKU</v>
      </c>
      <c r="O35" s="40" t="str">
        <f t="shared" si="5"/>
        <v>329</v>
      </c>
      <c r="P35" s="40" t="str">
        <f t="shared" si="6"/>
        <v>32</v>
      </c>
      <c r="Q35" s="40" t="str">
        <f t="shared" si="7"/>
        <v>11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11</v>
      </c>
      <c r="D36" s="45" t="str">
        <f t="shared" si="1"/>
        <v>Opći prihodi i primici</v>
      </c>
      <c r="E36" s="50">
        <v>3295</v>
      </c>
      <c r="F36" s="45" t="str">
        <f t="shared" si="2"/>
        <v>Pristojbe i naknade</v>
      </c>
      <c r="G36" s="82" t="s">
        <v>665</v>
      </c>
      <c r="H36" s="45" t="str">
        <f t="shared" si="3"/>
        <v>PROGRAMSKO FINANCIRANJE JAVNIH VISOKIH UČILIŠTA</v>
      </c>
      <c r="I36" s="45" t="str">
        <f t="shared" si="4"/>
        <v>0942</v>
      </c>
      <c r="J36" s="81">
        <v>1000</v>
      </c>
      <c r="K36" s="224">
        <v>1000</v>
      </c>
      <c r="L36" s="224">
        <v>1000</v>
      </c>
      <c r="M36" s="49"/>
      <c r="N36" s="246" t="str">
        <f>IF(C36="","",'OPĆI DIO'!$C$1)</f>
        <v>2452 SVEUČILIŠTE J. J. STROSSMAYERA U OSIJEKU</v>
      </c>
      <c r="O36" s="40" t="str">
        <f t="shared" si="5"/>
        <v>329</v>
      </c>
      <c r="P36" s="40" t="str">
        <f t="shared" si="6"/>
        <v>32</v>
      </c>
      <c r="Q36" s="40" t="str">
        <f t="shared" si="7"/>
        <v>11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11</v>
      </c>
      <c r="D37" s="45" t="str">
        <f t="shared" si="1"/>
        <v>Opći prihodi i primici</v>
      </c>
      <c r="E37" s="50">
        <v>3299</v>
      </c>
      <c r="F37" s="45" t="str">
        <f t="shared" si="2"/>
        <v>Ostali nespomenuti rashodi poslovanja</v>
      </c>
      <c r="G37" s="82" t="s">
        <v>665</v>
      </c>
      <c r="H37" s="45" t="str">
        <f t="shared" si="3"/>
        <v>PROGRAMSKO FINANCIRANJE JAVNIH VISOKIH UČILIŠTA</v>
      </c>
      <c r="I37" s="45" t="str">
        <f t="shared" si="4"/>
        <v>0942</v>
      </c>
      <c r="J37" s="81">
        <v>10000</v>
      </c>
      <c r="K37" s="224">
        <v>10000</v>
      </c>
      <c r="L37" s="224">
        <v>10000</v>
      </c>
      <c r="M37" s="49"/>
      <c r="N37" s="246" t="str">
        <f>IF(C37="","",'OPĆI DIO'!$C$1)</f>
        <v>2452 SVEUČILIŠTE J. J. STROSSMAYERA U OSIJEKU</v>
      </c>
      <c r="O37" s="40" t="str">
        <f t="shared" si="5"/>
        <v>329</v>
      </c>
      <c r="P37" s="40" t="str">
        <f t="shared" si="6"/>
        <v>32</v>
      </c>
      <c r="Q37" s="40" t="str">
        <f t="shared" si="7"/>
        <v>11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11</v>
      </c>
      <c r="D38" s="45" t="str">
        <f t="shared" si="1"/>
        <v>Opći prihodi i primici</v>
      </c>
      <c r="E38" s="50">
        <v>3431</v>
      </c>
      <c r="F38" s="45" t="str">
        <f t="shared" si="2"/>
        <v>Bankarske usluge i usluge platnog prometa</v>
      </c>
      <c r="G38" s="82" t="s">
        <v>665</v>
      </c>
      <c r="H38" s="45" t="str">
        <f t="shared" si="3"/>
        <v>PROGRAMSKO FINANCIRANJE JAVNIH VISOKIH UČILIŠTA</v>
      </c>
      <c r="I38" s="45" t="str">
        <f t="shared" si="4"/>
        <v>0942</v>
      </c>
      <c r="J38" s="81">
        <v>8000</v>
      </c>
      <c r="K38" s="224">
        <v>8000</v>
      </c>
      <c r="L38" s="224">
        <v>8000</v>
      </c>
      <c r="M38" s="49"/>
      <c r="N38" s="246" t="str">
        <f>IF(C38="","",'OPĆI DIO'!$C$1)</f>
        <v>2452 SVEUČILIŠTE J. J. STROSSMAYERA U OSIJEKU</v>
      </c>
      <c r="O38" s="40" t="str">
        <f t="shared" si="5"/>
        <v>343</v>
      </c>
      <c r="P38" s="40" t="str">
        <f t="shared" si="6"/>
        <v>34</v>
      </c>
      <c r="Q38" s="40" t="str">
        <f t="shared" si="7"/>
        <v>11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50">
        <v>11</v>
      </c>
      <c r="D39" s="45" t="str">
        <f t="shared" si="1"/>
        <v>Opći prihodi i primici</v>
      </c>
      <c r="E39" s="50">
        <v>3432</v>
      </c>
      <c r="F39" s="45" t="str">
        <f t="shared" si="2"/>
        <v>Negativne tečajne razlike i razlike zbog primjene valutne kl</v>
      </c>
      <c r="G39" s="82" t="s">
        <v>665</v>
      </c>
      <c r="H39" s="45" t="str">
        <f t="shared" si="3"/>
        <v>PROGRAMSKO FINANCIRANJE JAVNIH VISOKIH UČILIŠTA</v>
      </c>
      <c r="I39" s="45" t="str">
        <f t="shared" si="4"/>
        <v>0942</v>
      </c>
      <c r="J39" s="81">
        <v>100</v>
      </c>
      <c r="K39" s="224">
        <v>100</v>
      </c>
      <c r="L39" s="224">
        <v>100</v>
      </c>
      <c r="M39" s="49"/>
      <c r="N39" s="246" t="str">
        <f>IF(C39="","",'OPĆI DIO'!$C$1)</f>
        <v>2452 SVEUČILIŠTE J. J. STROSSMAYERA U OSIJEKU</v>
      </c>
      <c r="O39" s="40" t="str">
        <f t="shared" si="5"/>
        <v>343</v>
      </c>
      <c r="P39" s="40" t="str">
        <f t="shared" si="6"/>
        <v>34</v>
      </c>
      <c r="Q39" s="40" t="str">
        <f t="shared" si="7"/>
        <v>11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11</v>
      </c>
      <c r="D40" s="45" t="str">
        <f t="shared" si="1"/>
        <v>Opći prihodi i primici</v>
      </c>
      <c r="E40" s="50">
        <v>3433</v>
      </c>
      <c r="F40" s="45" t="str">
        <f t="shared" si="2"/>
        <v>Zatezne kamate</v>
      </c>
      <c r="G40" s="82" t="s">
        <v>665</v>
      </c>
      <c r="H40" s="45" t="str">
        <f t="shared" si="3"/>
        <v>PROGRAMSKO FINANCIRANJE JAVNIH VISOKIH UČILIŠTA</v>
      </c>
      <c r="I40" s="45" t="str">
        <f t="shared" si="4"/>
        <v>0942</v>
      </c>
      <c r="J40" s="81">
        <v>1000</v>
      </c>
      <c r="K40" s="224">
        <v>1000</v>
      </c>
      <c r="L40" s="224">
        <v>1000</v>
      </c>
      <c r="M40" s="49"/>
      <c r="N40" s="246" t="str">
        <f>IF(C40="","",'OPĆI DIO'!$C$1)</f>
        <v>2452 SVEUČILIŠTE J. J. STROSSMAYERA U OSIJEKU</v>
      </c>
      <c r="O40" s="40" t="str">
        <f t="shared" si="5"/>
        <v>343</v>
      </c>
      <c r="P40" s="40" t="str">
        <f t="shared" si="6"/>
        <v>34</v>
      </c>
      <c r="Q40" s="40" t="str">
        <f t="shared" si="7"/>
        <v>11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11</v>
      </c>
      <c r="D41" s="45" t="str">
        <f t="shared" si="1"/>
        <v>Opći prihodi i primici</v>
      </c>
      <c r="E41" s="50">
        <v>3434</v>
      </c>
      <c r="F41" s="45" t="str">
        <f t="shared" si="2"/>
        <v>Ostali nespomenuti financijski rashodi</v>
      </c>
      <c r="G41" s="82" t="s">
        <v>665</v>
      </c>
      <c r="H41" s="45" t="str">
        <f t="shared" si="3"/>
        <v>PROGRAMSKO FINANCIRANJE JAVNIH VISOKIH UČILIŠTA</v>
      </c>
      <c r="I41" s="45" t="str">
        <f t="shared" si="4"/>
        <v>0942</v>
      </c>
      <c r="J41" s="81">
        <v>50</v>
      </c>
      <c r="K41" s="224">
        <v>50</v>
      </c>
      <c r="L41" s="224">
        <v>50</v>
      </c>
      <c r="M41" s="49"/>
      <c r="N41" s="246" t="str">
        <f>IF(C41="","",'OPĆI DIO'!$C$1)</f>
        <v>2452 SVEUČILIŠTE J. J. STROSSMAYERA U OSIJEKU</v>
      </c>
      <c r="O41" s="40" t="str">
        <f t="shared" si="5"/>
        <v>343</v>
      </c>
      <c r="P41" s="40" t="str">
        <f t="shared" si="6"/>
        <v>34</v>
      </c>
      <c r="Q41" s="40" t="str">
        <f t="shared" si="7"/>
        <v>11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11</v>
      </c>
      <c r="D42" s="45" t="str">
        <f t="shared" si="1"/>
        <v>Opći prihodi i primici</v>
      </c>
      <c r="E42" s="50">
        <v>3721</v>
      </c>
      <c r="F42" s="45" t="str">
        <f t="shared" si="2"/>
        <v>Naknade građanima i kućanstvima u novcu</v>
      </c>
      <c r="G42" s="82" t="s">
        <v>665</v>
      </c>
      <c r="H42" s="45" t="str">
        <f t="shared" si="3"/>
        <v>PROGRAMSKO FINANCIRANJE JAVNIH VISOKIH UČILIŠTA</v>
      </c>
      <c r="I42" s="45" t="str">
        <f t="shared" si="4"/>
        <v>0942</v>
      </c>
      <c r="J42" s="81">
        <v>150000</v>
      </c>
      <c r="K42" s="224">
        <v>150000</v>
      </c>
      <c r="L42" s="224">
        <v>150000</v>
      </c>
      <c r="M42" s="49"/>
      <c r="N42" s="246" t="str">
        <f>IF(C42="","",'OPĆI DIO'!$C$1)</f>
        <v>2452 SVEUČILIŠTE J. J. STROSSMAYERA U OSIJEKU</v>
      </c>
      <c r="O42" s="40" t="str">
        <f t="shared" si="5"/>
        <v>372</v>
      </c>
      <c r="P42" s="40" t="str">
        <f t="shared" si="6"/>
        <v>37</v>
      </c>
      <c r="Q42" s="40" t="str">
        <f t="shared" si="7"/>
        <v>11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11</v>
      </c>
      <c r="D43" s="45" t="str">
        <f t="shared" si="1"/>
        <v>Opći prihodi i primici</v>
      </c>
      <c r="E43" s="50">
        <v>4123</v>
      </c>
      <c r="F43" s="45" t="str">
        <f t="shared" si="2"/>
        <v>Licence</v>
      </c>
      <c r="G43" s="82" t="s">
        <v>665</v>
      </c>
      <c r="H43" s="45" t="str">
        <f t="shared" si="3"/>
        <v>PROGRAMSKO FINANCIRANJE JAVNIH VISOKIH UČILIŠTA</v>
      </c>
      <c r="I43" s="45" t="str">
        <f t="shared" si="4"/>
        <v>0942</v>
      </c>
      <c r="J43" s="81">
        <v>5000</v>
      </c>
      <c r="K43" s="224">
        <v>5000</v>
      </c>
      <c r="L43" s="224">
        <v>5000</v>
      </c>
      <c r="M43" s="49"/>
      <c r="N43" s="246" t="str">
        <f>IF(C43="","",'OPĆI DIO'!$C$1)</f>
        <v>2452 SVEUČILIŠTE J. J. STROSSMAYERA U OSIJEKU</v>
      </c>
      <c r="O43" s="40" t="str">
        <f t="shared" si="5"/>
        <v>412</v>
      </c>
      <c r="P43" s="40" t="str">
        <f t="shared" si="6"/>
        <v>41</v>
      </c>
      <c r="Q43" s="40" t="str">
        <f t="shared" si="7"/>
        <v>11</v>
      </c>
      <c r="R43" s="40" t="str">
        <f t="shared" si="8"/>
        <v>94</v>
      </c>
      <c r="S43" s="40" t="str">
        <f t="shared" si="9"/>
        <v>4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11</v>
      </c>
      <c r="D44" s="45" t="str">
        <f t="shared" si="1"/>
        <v>Opći prihodi i primici</v>
      </c>
      <c r="E44" s="50">
        <v>4212</v>
      </c>
      <c r="F44" s="45" t="str">
        <f t="shared" si="2"/>
        <v>Poslovni objekti</v>
      </c>
      <c r="G44" s="82" t="s">
        <v>665</v>
      </c>
      <c r="H44" s="45" t="str">
        <f t="shared" si="3"/>
        <v>PROGRAMSKO FINANCIRANJE JAVNIH VISOKIH UČILIŠTA</v>
      </c>
      <c r="I44" s="45" t="str">
        <f t="shared" si="4"/>
        <v>0942</v>
      </c>
      <c r="J44" s="81">
        <f>80000+50726</f>
        <v>130726</v>
      </c>
      <c r="K44" s="224">
        <v>130726</v>
      </c>
      <c r="L44" s="224">
        <v>130726</v>
      </c>
      <c r="M44" s="49"/>
      <c r="N44" s="246" t="str">
        <f>IF(C44="","",'OPĆI DIO'!$C$1)</f>
        <v>2452 SVEUČILIŠTE J. J. STROSSMAYERA U OSIJEKU</v>
      </c>
      <c r="O44" s="40" t="str">
        <f t="shared" si="5"/>
        <v>421</v>
      </c>
      <c r="P44" s="40" t="str">
        <f t="shared" si="6"/>
        <v>42</v>
      </c>
      <c r="Q44" s="40" t="str">
        <f t="shared" si="7"/>
        <v>11</v>
      </c>
      <c r="R44" s="40" t="str">
        <f t="shared" si="8"/>
        <v>94</v>
      </c>
      <c r="S44" s="40" t="str">
        <f t="shared" si="9"/>
        <v>4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11</v>
      </c>
      <c r="D45" s="45" t="str">
        <f t="shared" si="1"/>
        <v>Opći prihodi i primici</v>
      </c>
      <c r="E45" s="50">
        <v>4221</v>
      </c>
      <c r="F45" s="45" t="str">
        <f t="shared" si="2"/>
        <v>Uredska oprema i namještaj</v>
      </c>
      <c r="G45" s="82" t="s">
        <v>665</v>
      </c>
      <c r="H45" s="45" t="str">
        <f t="shared" si="3"/>
        <v>PROGRAMSKO FINANCIRANJE JAVNIH VISOKIH UČILIŠTA</v>
      </c>
      <c r="I45" s="45" t="str">
        <f t="shared" si="4"/>
        <v>0942</v>
      </c>
      <c r="J45" s="81">
        <v>90000</v>
      </c>
      <c r="K45" s="224">
        <v>90000</v>
      </c>
      <c r="L45" s="224">
        <v>90000</v>
      </c>
      <c r="M45" s="49"/>
      <c r="N45" s="246" t="str">
        <f>IF(C45="","",'OPĆI DIO'!$C$1)</f>
        <v>2452 SVEUČILIŠTE J. J. STROSSMAYERA U OSIJEKU</v>
      </c>
      <c r="O45" s="40" t="str">
        <f t="shared" si="5"/>
        <v>422</v>
      </c>
      <c r="P45" s="40" t="str">
        <f t="shared" si="6"/>
        <v>42</v>
      </c>
      <c r="Q45" s="40" t="str">
        <f t="shared" si="7"/>
        <v>11</v>
      </c>
      <c r="R45" s="40" t="str">
        <f t="shared" si="8"/>
        <v>94</v>
      </c>
      <c r="S45" s="40" t="str">
        <f t="shared" si="9"/>
        <v>4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11</v>
      </c>
      <c r="D46" s="45" t="str">
        <f t="shared" si="1"/>
        <v>Opći prihodi i primici</v>
      </c>
      <c r="E46" s="50">
        <v>4222</v>
      </c>
      <c r="F46" s="45" t="str">
        <f t="shared" si="2"/>
        <v>Komunikacijska oprema</v>
      </c>
      <c r="G46" s="82" t="s">
        <v>665</v>
      </c>
      <c r="H46" s="45" t="str">
        <f t="shared" si="3"/>
        <v>PROGRAMSKO FINANCIRANJE JAVNIH VISOKIH UČILIŠTA</v>
      </c>
      <c r="I46" s="45" t="str">
        <f t="shared" si="4"/>
        <v>0942</v>
      </c>
      <c r="J46" s="81">
        <v>4000</v>
      </c>
      <c r="K46" s="224">
        <v>4000</v>
      </c>
      <c r="L46" s="224">
        <v>4000</v>
      </c>
      <c r="M46" s="49"/>
      <c r="N46" s="246" t="str">
        <f>IF(C46="","",'OPĆI DIO'!$C$1)</f>
        <v>2452 SVEUČILIŠTE J. J. STROSSMAYERA U OSIJEKU</v>
      </c>
      <c r="O46" s="40" t="str">
        <f t="shared" si="5"/>
        <v>422</v>
      </c>
      <c r="P46" s="40" t="str">
        <f t="shared" si="6"/>
        <v>42</v>
      </c>
      <c r="Q46" s="40" t="str">
        <f t="shared" si="7"/>
        <v>11</v>
      </c>
      <c r="R46" s="40" t="str">
        <f t="shared" si="8"/>
        <v>94</v>
      </c>
      <c r="S46" s="40" t="str">
        <f t="shared" si="9"/>
        <v>4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11</v>
      </c>
      <c r="D47" s="45" t="str">
        <f t="shared" si="1"/>
        <v>Opći prihodi i primici</v>
      </c>
      <c r="E47" s="50">
        <v>4223</v>
      </c>
      <c r="F47" s="45" t="str">
        <f t="shared" si="2"/>
        <v>Oprema za održavanje i zaštitu</v>
      </c>
      <c r="G47" s="82" t="s">
        <v>665</v>
      </c>
      <c r="H47" s="45" t="str">
        <f t="shared" si="3"/>
        <v>PROGRAMSKO FINANCIRANJE JAVNIH VISOKIH UČILIŠTA</v>
      </c>
      <c r="I47" s="45" t="str">
        <f t="shared" si="4"/>
        <v>0942</v>
      </c>
      <c r="J47" s="81">
        <v>1000</v>
      </c>
      <c r="K47" s="224">
        <v>1000</v>
      </c>
      <c r="L47" s="224">
        <v>1000</v>
      </c>
      <c r="M47" s="49"/>
      <c r="N47" s="246" t="str">
        <f>IF(C47="","",'OPĆI DIO'!$C$1)</f>
        <v>2452 SVEUČILIŠTE J. J. STROSSMAYERA U OSIJEKU</v>
      </c>
      <c r="O47" s="40" t="str">
        <f t="shared" si="5"/>
        <v>422</v>
      </c>
      <c r="P47" s="40" t="str">
        <f t="shared" si="6"/>
        <v>42</v>
      </c>
      <c r="Q47" s="40" t="str">
        <f t="shared" si="7"/>
        <v>11</v>
      </c>
      <c r="R47" s="40" t="str">
        <f t="shared" si="8"/>
        <v>94</v>
      </c>
      <c r="S47" s="40" t="str">
        <f t="shared" si="9"/>
        <v>4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11</v>
      </c>
      <c r="D48" s="45" t="str">
        <f t="shared" si="1"/>
        <v>Opći prihodi i primici</v>
      </c>
      <c r="E48" s="50">
        <v>4224</v>
      </c>
      <c r="F48" s="45" t="str">
        <f t="shared" si="2"/>
        <v>Medicinska i laboratorijska oprema</v>
      </c>
      <c r="G48" s="82" t="s">
        <v>665</v>
      </c>
      <c r="H48" s="45" t="str">
        <f t="shared" si="3"/>
        <v>PROGRAMSKO FINANCIRANJE JAVNIH VISOKIH UČILIŠTA</v>
      </c>
      <c r="I48" s="45" t="str">
        <f t="shared" si="4"/>
        <v>0942</v>
      </c>
      <c r="J48" s="81">
        <v>2000</v>
      </c>
      <c r="K48" s="224">
        <v>2000</v>
      </c>
      <c r="L48" s="224">
        <v>2000</v>
      </c>
      <c r="M48" s="49"/>
      <c r="N48" s="246" t="str">
        <f>IF(C48="","",'OPĆI DIO'!$C$1)</f>
        <v>2452 SVEUČILIŠTE J. J. STROSSMAYERA U OSIJEKU</v>
      </c>
      <c r="O48" s="40" t="str">
        <f t="shared" si="5"/>
        <v>422</v>
      </c>
      <c r="P48" s="40" t="str">
        <f t="shared" si="6"/>
        <v>42</v>
      </c>
      <c r="Q48" s="40" t="str">
        <f t="shared" si="7"/>
        <v>11</v>
      </c>
      <c r="R48" s="40" t="str">
        <f t="shared" si="8"/>
        <v>94</v>
      </c>
      <c r="S48" s="40" t="str">
        <f t="shared" si="9"/>
        <v>4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11</v>
      </c>
      <c r="D49" s="45" t="str">
        <f t="shared" si="1"/>
        <v>Opći prihodi i primici</v>
      </c>
      <c r="E49" s="50">
        <v>4225</v>
      </c>
      <c r="F49" s="45" t="str">
        <f t="shared" si="2"/>
        <v>Instrumenti, uređaji i strojevi</v>
      </c>
      <c r="G49" s="82" t="s">
        <v>665</v>
      </c>
      <c r="H49" s="45" t="str">
        <f t="shared" si="3"/>
        <v>PROGRAMSKO FINANCIRANJE JAVNIH VISOKIH UČILIŠTA</v>
      </c>
      <c r="I49" s="45" t="str">
        <f t="shared" si="4"/>
        <v>0942</v>
      </c>
      <c r="J49" s="81">
        <v>200</v>
      </c>
      <c r="K49" s="224">
        <v>200</v>
      </c>
      <c r="L49" s="224">
        <v>200</v>
      </c>
      <c r="M49" s="49"/>
      <c r="N49" s="246" t="str">
        <f>IF(C49="","",'OPĆI DIO'!$C$1)</f>
        <v>2452 SVEUČILIŠTE J. J. STROSSMAYERA U OSIJEKU</v>
      </c>
      <c r="O49" s="40" t="str">
        <f t="shared" si="5"/>
        <v>422</v>
      </c>
      <c r="P49" s="40" t="str">
        <f t="shared" si="6"/>
        <v>42</v>
      </c>
      <c r="Q49" s="40" t="str">
        <f t="shared" si="7"/>
        <v>11</v>
      </c>
      <c r="R49" s="40" t="str">
        <f t="shared" si="8"/>
        <v>94</v>
      </c>
      <c r="S49" s="40" t="str">
        <f t="shared" si="9"/>
        <v>4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11</v>
      </c>
      <c r="D50" s="45" t="str">
        <f t="shared" si="1"/>
        <v>Opći prihodi i primici</v>
      </c>
      <c r="E50" s="50">
        <v>4227</v>
      </c>
      <c r="F50" s="45" t="str">
        <f t="shared" si="2"/>
        <v>Uređaji, strojevi i oprema za ostale namjene</v>
      </c>
      <c r="G50" s="82" t="s">
        <v>665</v>
      </c>
      <c r="H50" s="45" t="str">
        <f t="shared" si="3"/>
        <v>PROGRAMSKO FINANCIRANJE JAVNIH VISOKIH UČILIŠTA</v>
      </c>
      <c r="I50" s="45" t="str">
        <f t="shared" si="4"/>
        <v>0942</v>
      </c>
      <c r="J50" s="81">
        <v>600</v>
      </c>
      <c r="K50" s="224">
        <v>600</v>
      </c>
      <c r="L50" s="224">
        <v>600</v>
      </c>
      <c r="M50" s="49"/>
      <c r="N50" s="246" t="str">
        <f>IF(C50="","",'OPĆI DIO'!$C$1)</f>
        <v>2452 SVEUČILIŠTE J. J. STROSSMAYERA U OSIJEKU</v>
      </c>
      <c r="O50" s="40" t="str">
        <f t="shared" si="5"/>
        <v>422</v>
      </c>
      <c r="P50" s="40" t="str">
        <f t="shared" si="6"/>
        <v>42</v>
      </c>
      <c r="Q50" s="40" t="str">
        <f t="shared" si="7"/>
        <v>11</v>
      </c>
      <c r="R50" s="40" t="str">
        <f t="shared" si="8"/>
        <v>94</v>
      </c>
      <c r="S50" s="40" t="str">
        <f t="shared" si="9"/>
        <v>4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11</v>
      </c>
      <c r="D51" s="45" t="str">
        <f t="shared" si="1"/>
        <v>Opći prihodi i primici</v>
      </c>
      <c r="E51" s="50">
        <v>4241</v>
      </c>
      <c r="F51" s="45" t="str">
        <f t="shared" si="2"/>
        <v>Knjige</v>
      </c>
      <c r="G51" s="82" t="s">
        <v>665</v>
      </c>
      <c r="H51" s="45" t="str">
        <f t="shared" si="3"/>
        <v>PROGRAMSKO FINANCIRANJE JAVNIH VISOKIH UČILIŠTA</v>
      </c>
      <c r="I51" s="45" t="str">
        <f t="shared" si="4"/>
        <v>0942</v>
      </c>
      <c r="J51" s="81">
        <v>1000</v>
      </c>
      <c r="K51" s="224">
        <v>1000</v>
      </c>
      <c r="L51" s="224">
        <v>1000</v>
      </c>
      <c r="M51" s="49"/>
      <c r="N51" s="246" t="str">
        <f>IF(C51="","",'OPĆI DIO'!$C$1)</f>
        <v>2452 SVEUČILIŠTE J. J. STROSSMAYERA U OSIJEKU</v>
      </c>
      <c r="O51" s="40" t="str">
        <f t="shared" si="5"/>
        <v>424</v>
      </c>
      <c r="P51" s="40" t="str">
        <f t="shared" si="6"/>
        <v>42</v>
      </c>
      <c r="Q51" s="40" t="str">
        <f t="shared" si="7"/>
        <v>11</v>
      </c>
      <c r="R51" s="40" t="str">
        <f t="shared" si="8"/>
        <v>94</v>
      </c>
      <c r="S51" s="40" t="str">
        <f t="shared" si="9"/>
        <v>4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11</v>
      </c>
      <c r="D52" s="45" t="str">
        <f t="shared" si="1"/>
        <v>Opći prihodi i primici</v>
      </c>
      <c r="E52" s="50">
        <v>4262</v>
      </c>
      <c r="F52" s="45" t="str">
        <f t="shared" si="2"/>
        <v>Ulaganja u računalne programe</v>
      </c>
      <c r="G52" s="82" t="s">
        <v>665</v>
      </c>
      <c r="H52" s="45" t="str">
        <f t="shared" si="3"/>
        <v>PROGRAMSKO FINANCIRANJE JAVNIH VISOKIH UČILIŠTA</v>
      </c>
      <c r="I52" s="45" t="str">
        <f t="shared" si="4"/>
        <v>0942</v>
      </c>
      <c r="J52" s="81">
        <v>1500</v>
      </c>
      <c r="K52" s="224">
        <v>1500</v>
      </c>
      <c r="L52" s="224">
        <v>1500</v>
      </c>
      <c r="M52" s="49"/>
      <c r="N52" s="246" t="str">
        <f>IF(C52="","",'OPĆI DIO'!$C$1)</f>
        <v>2452 SVEUČILIŠTE J. J. STROSSMAYERA U OSIJEKU</v>
      </c>
      <c r="O52" s="40" t="str">
        <f t="shared" si="5"/>
        <v>426</v>
      </c>
      <c r="P52" s="40" t="str">
        <f t="shared" si="6"/>
        <v>42</v>
      </c>
      <c r="Q52" s="40" t="str">
        <f t="shared" si="7"/>
        <v>11</v>
      </c>
      <c r="R52" s="40" t="str">
        <f t="shared" si="8"/>
        <v>94</v>
      </c>
      <c r="S52" s="40" t="str">
        <f t="shared" si="9"/>
        <v>4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11</v>
      </c>
      <c r="D53" s="45" t="str">
        <f t="shared" si="1"/>
        <v>Opći prihodi i primici</v>
      </c>
      <c r="E53" s="50">
        <v>4312</v>
      </c>
      <c r="F53" s="45" t="str">
        <f t="shared" si="2"/>
        <v>Pohranjene knjige, umjetnička djela i slične vrijednosti</v>
      </c>
      <c r="G53" s="82" t="s">
        <v>665</v>
      </c>
      <c r="H53" s="45" t="str">
        <f t="shared" si="3"/>
        <v>PROGRAMSKO FINANCIRANJE JAVNIH VISOKIH UČILIŠTA</v>
      </c>
      <c r="I53" s="45" t="str">
        <f t="shared" si="4"/>
        <v>0942</v>
      </c>
      <c r="J53" s="81">
        <v>100</v>
      </c>
      <c r="K53" s="224">
        <v>100</v>
      </c>
      <c r="L53" s="224">
        <v>100</v>
      </c>
      <c r="M53" s="49"/>
      <c r="N53" s="246" t="str">
        <f>IF(C53="","",'OPĆI DIO'!$C$1)</f>
        <v>2452 SVEUČILIŠTE J. J. STROSSMAYERA U OSIJEKU</v>
      </c>
      <c r="O53" s="40" t="str">
        <f t="shared" si="5"/>
        <v>431</v>
      </c>
      <c r="P53" s="40" t="str">
        <f t="shared" si="6"/>
        <v>43</v>
      </c>
      <c r="Q53" s="40" t="str">
        <f t="shared" si="7"/>
        <v>11</v>
      </c>
      <c r="R53" s="40" t="str">
        <f t="shared" si="8"/>
        <v>94</v>
      </c>
      <c r="S53" s="40" t="str">
        <f t="shared" si="9"/>
        <v>4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11</v>
      </c>
      <c r="D54" s="45" t="str">
        <f t="shared" si="1"/>
        <v>Opći prihodi i primici</v>
      </c>
      <c r="E54" s="50">
        <v>4511</v>
      </c>
      <c r="F54" s="45" t="str">
        <f t="shared" si="2"/>
        <v>Dodatna ulaganja na građevinskim objektima</v>
      </c>
      <c r="G54" s="82" t="s">
        <v>665</v>
      </c>
      <c r="H54" s="45" t="str">
        <f t="shared" si="3"/>
        <v>PROGRAMSKO FINANCIRANJE JAVNIH VISOKIH UČILIŠTA</v>
      </c>
      <c r="I54" s="45" t="str">
        <f t="shared" si="4"/>
        <v>0942</v>
      </c>
      <c r="J54" s="81">
        <v>5000</v>
      </c>
      <c r="K54" s="224">
        <v>5000</v>
      </c>
      <c r="L54" s="224">
        <v>5000</v>
      </c>
      <c r="M54" s="49"/>
      <c r="N54" s="246" t="str">
        <f>IF(C54="","",'OPĆI DIO'!$C$1)</f>
        <v>2452 SVEUČILIŠTE J. J. STROSSMAYERA U OSIJEKU</v>
      </c>
      <c r="O54" s="40" t="str">
        <f t="shared" si="5"/>
        <v>451</v>
      </c>
      <c r="P54" s="40" t="str">
        <f t="shared" si="6"/>
        <v>45</v>
      </c>
      <c r="Q54" s="40" t="str">
        <f t="shared" si="7"/>
        <v>11</v>
      </c>
      <c r="R54" s="40" t="str">
        <f t="shared" si="8"/>
        <v>94</v>
      </c>
      <c r="S54" s="40" t="str">
        <f t="shared" si="9"/>
        <v>4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31</v>
      </c>
      <c r="D55" s="45" t="str">
        <f t="shared" si="1"/>
        <v>Vlastiti prihodi</v>
      </c>
      <c r="E55" s="50">
        <v>3111</v>
      </c>
      <c r="F55" s="45" t="str">
        <f t="shared" si="2"/>
        <v>Plaće za redovan rad</v>
      </c>
      <c r="G55" s="82" t="s">
        <v>176</v>
      </c>
      <c r="H55" s="45" t="str">
        <f t="shared" si="3"/>
        <v>REDOVNA DJELATNOST SVEUČILIŠTA U OSIJEKU (IZ EVIDENCIJSKIH PRIHODA)</v>
      </c>
      <c r="I55" s="45" t="str">
        <f t="shared" si="4"/>
        <v>0942</v>
      </c>
      <c r="J55" s="369">
        <v>30000</v>
      </c>
      <c r="K55" s="224">
        <v>25000</v>
      </c>
      <c r="L55" s="224">
        <v>20000</v>
      </c>
      <c r="M55" s="49"/>
      <c r="N55" s="246" t="str">
        <f>IF(C55="","",'OPĆI DIO'!$C$1)</f>
        <v>2452 SVEUČILIŠTE J. J. STROSSMAYERA U OSIJEKU</v>
      </c>
      <c r="O55" s="40" t="str">
        <f t="shared" si="5"/>
        <v>311</v>
      </c>
      <c r="P55" s="40" t="str">
        <f t="shared" si="6"/>
        <v>31</v>
      </c>
      <c r="Q55" s="40" t="str">
        <f t="shared" si="7"/>
        <v>31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31</v>
      </c>
      <c r="D56" s="45" t="str">
        <f t="shared" si="1"/>
        <v>Vlastiti prihodi</v>
      </c>
      <c r="E56" s="50">
        <v>3121</v>
      </c>
      <c r="F56" s="45" t="str">
        <f t="shared" si="2"/>
        <v>Ostali rashodi za zaposlene</v>
      </c>
      <c r="G56" s="82" t="s">
        <v>176</v>
      </c>
      <c r="H56" s="45" t="str">
        <f t="shared" si="3"/>
        <v>REDOVNA DJELATNOST SVEUČILIŠTA U OSIJEKU (IZ EVIDENCIJSKIH PRIHODA)</v>
      </c>
      <c r="I56" s="45" t="str">
        <f t="shared" si="4"/>
        <v>0942</v>
      </c>
      <c r="J56" s="369">
        <v>80000</v>
      </c>
      <c r="K56" s="224">
        <v>75000</v>
      </c>
      <c r="L56" s="224">
        <v>70000</v>
      </c>
      <c r="M56" s="49"/>
      <c r="N56" s="246" t="str">
        <f>IF(C56="","",'OPĆI DIO'!$C$1)</f>
        <v>2452 SVEUČILIŠTE J. J. STROSSMAYERA U OSIJEKU</v>
      </c>
      <c r="O56" s="40" t="str">
        <f t="shared" si="5"/>
        <v>312</v>
      </c>
      <c r="P56" s="40" t="str">
        <f t="shared" si="6"/>
        <v>31</v>
      </c>
      <c r="Q56" s="40" t="str">
        <f t="shared" si="7"/>
        <v>31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31</v>
      </c>
      <c r="D57" s="45" t="str">
        <f t="shared" si="1"/>
        <v>Vlastiti prihodi</v>
      </c>
      <c r="E57" s="50">
        <v>3132</v>
      </c>
      <c r="F57" s="45" t="str">
        <f t="shared" si="2"/>
        <v>Doprinosi za obvezno zdravstveno osiguranje</v>
      </c>
      <c r="G57" s="82" t="s">
        <v>176</v>
      </c>
      <c r="H57" s="45" t="str">
        <f t="shared" si="3"/>
        <v>REDOVNA DJELATNOST SVEUČILIŠTA U OSIJEKU (IZ EVIDENCIJSKIH PRIHODA)</v>
      </c>
      <c r="I57" s="45" t="str">
        <f t="shared" si="4"/>
        <v>0942</v>
      </c>
      <c r="J57" s="369">
        <v>0</v>
      </c>
      <c r="K57" s="224">
        <v>0</v>
      </c>
      <c r="L57" s="224">
        <v>0</v>
      </c>
      <c r="M57" s="49"/>
      <c r="N57" s="246" t="str">
        <f>IF(C57="","",'OPĆI DIO'!$C$1)</f>
        <v>2452 SVEUČILIŠTE J. J. STROSSMAYERA U OSIJEKU</v>
      </c>
      <c r="O57" s="40" t="str">
        <f t="shared" si="5"/>
        <v>313</v>
      </c>
      <c r="P57" s="40" t="str">
        <f t="shared" si="6"/>
        <v>31</v>
      </c>
      <c r="Q57" s="40" t="str">
        <f t="shared" si="7"/>
        <v>31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31</v>
      </c>
      <c r="D58" s="45" t="str">
        <f t="shared" si="1"/>
        <v>Vlastiti prihodi</v>
      </c>
      <c r="E58" s="50">
        <v>3211</v>
      </c>
      <c r="F58" s="45" t="str">
        <f t="shared" si="2"/>
        <v>Službena putovanja</v>
      </c>
      <c r="G58" s="82" t="s">
        <v>176</v>
      </c>
      <c r="H58" s="45" t="str">
        <f t="shared" si="3"/>
        <v>REDOVNA DJELATNOST SVEUČILIŠTA U OSIJEKU (IZ EVIDENCIJSKIH PRIHODA)</v>
      </c>
      <c r="I58" s="45" t="str">
        <f t="shared" si="4"/>
        <v>0942</v>
      </c>
      <c r="J58" s="369">
        <v>0</v>
      </c>
      <c r="K58" s="224">
        <v>0</v>
      </c>
      <c r="L58" s="224">
        <v>0</v>
      </c>
      <c r="M58" s="49"/>
      <c r="N58" s="246" t="str">
        <f>IF(C58="","",'OPĆI DIO'!$C$1)</f>
        <v>2452 SVEUČILIŠTE J. J. STROSSMAYERA U OSIJEKU</v>
      </c>
      <c r="O58" s="40" t="str">
        <f t="shared" si="5"/>
        <v>321</v>
      </c>
      <c r="P58" s="40" t="str">
        <f t="shared" si="6"/>
        <v>32</v>
      </c>
      <c r="Q58" s="40" t="str">
        <f t="shared" si="7"/>
        <v>31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31</v>
      </c>
      <c r="D59" s="45" t="str">
        <f t="shared" si="1"/>
        <v>Vlastiti prihodi</v>
      </c>
      <c r="E59" s="50">
        <v>3811</v>
      </c>
      <c r="F59" s="45" t="str">
        <f t="shared" si="2"/>
        <v>Tekuće donacije u novcu</v>
      </c>
      <c r="G59" s="82" t="s">
        <v>176</v>
      </c>
      <c r="H59" s="45" t="str">
        <f t="shared" si="3"/>
        <v>REDOVNA DJELATNOST SVEUČILIŠTA U OSIJEKU (IZ EVIDENCIJSKIH PRIHODA)</v>
      </c>
      <c r="I59" s="45" t="str">
        <f t="shared" si="4"/>
        <v>0942</v>
      </c>
      <c r="J59" s="81">
        <v>3000</v>
      </c>
      <c r="K59" s="224">
        <v>2640</v>
      </c>
      <c r="L59" s="224">
        <v>2000</v>
      </c>
      <c r="M59" s="49"/>
      <c r="N59" s="246" t="str">
        <f>IF(C59="","",'OPĆI DIO'!$C$1)</f>
        <v>2452 SVEUČILIŠTE J. J. STROSSMAYERA U OSIJEKU</v>
      </c>
      <c r="O59" s="40" t="str">
        <f t="shared" si="5"/>
        <v>381</v>
      </c>
      <c r="P59" s="40" t="str">
        <f t="shared" si="6"/>
        <v>38</v>
      </c>
      <c r="Q59" s="40" t="str">
        <f t="shared" si="7"/>
        <v>31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31</v>
      </c>
      <c r="D60" s="45" t="str">
        <f t="shared" si="1"/>
        <v>Vlastiti prihodi</v>
      </c>
      <c r="E60" s="50">
        <v>4221</v>
      </c>
      <c r="F60" s="45" t="str">
        <f t="shared" si="2"/>
        <v>Uredska oprema i namještaj</v>
      </c>
      <c r="G60" s="82" t="s">
        <v>176</v>
      </c>
      <c r="H60" s="45" t="str">
        <f t="shared" si="3"/>
        <v>REDOVNA DJELATNOST SVEUČILIŠTA U OSIJEKU (IZ EVIDENCIJSKIH PRIHODA)</v>
      </c>
      <c r="I60" s="45" t="str">
        <f t="shared" si="4"/>
        <v>0942</v>
      </c>
      <c r="J60" s="369">
        <v>0</v>
      </c>
      <c r="K60" s="224"/>
      <c r="L60" s="224"/>
      <c r="M60" s="49"/>
      <c r="N60" s="246" t="str">
        <f>IF(C60="","",'OPĆI DIO'!$C$1)</f>
        <v>2452 SVEUČILIŠTE J. J. STROSSMAYERA U OSIJEKU</v>
      </c>
      <c r="O60" s="40" t="str">
        <f t="shared" si="5"/>
        <v>422</v>
      </c>
      <c r="P60" s="40" t="str">
        <f t="shared" si="6"/>
        <v>42</v>
      </c>
      <c r="Q60" s="40" t="str">
        <f t="shared" si="7"/>
        <v>31</v>
      </c>
      <c r="R60" s="40" t="str">
        <f t="shared" si="8"/>
        <v>94</v>
      </c>
      <c r="S60" s="40" t="str">
        <f t="shared" si="9"/>
        <v>4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31</v>
      </c>
      <c r="D61" s="45" t="str">
        <f t="shared" si="1"/>
        <v>Vlastiti prihodi</v>
      </c>
      <c r="E61" s="50">
        <v>4224</v>
      </c>
      <c r="F61" s="45" t="str">
        <f t="shared" si="2"/>
        <v>Medicinska i laboratorijska oprema</v>
      </c>
      <c r="G61" s="82" t="s">
        <v>176</v>
      </c>
      <c r="H61" s="45" t="str">
        <f t="shared" si="3"/>
        <v>REDOVNA DJELATNOST SVEUČILIŠTA U OSIJEKU (IZ EVIDENCIJSKIH PRIHODA)</v>
      </c>
      <c r="I61" s="45" t="str">
        <f t="shared" si="4"/>
        <v>0942</v>
      </c>
      <c r="J61" s="369">
        <v>0</v>
      </c>
      <c r="K61" s="224"/>
      <c r="L61" s="224"/>
      <c r="M61" s="49"/>
      <c r="N61" s="246" t="str">
        <f>IF(C61="","",'OPĆI DIO'!$C$1)</f>
        <v>2452 SVEUČILIŠTE J. J. STROSSMAYERA U OSIJEKU</v>
      </c>
      <c r="O61" s="40" t="str">
        <f t="shared" si="5"/>
        <v>422</v>
      </c>
      <c r="P61" s="40" t="str">
        <f t="shared" si="6"/>
        <v>42</v>
      </c>
      <c r="Q61" s="40" t="str">
        <f t="shared" si="7"/>
        <v>31</v>
      </c>
      <c r="R61" s="40" t="str">
        <f t="shared" si="8"/>
        <v>94</v>
      </c>
      <c r="S61" s="40" t="str">
        <f t="shared" si="9"/>
        <v>4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31</v>
      </c>
      <c r="D62" s="45" t="str">
        <f t="shared" si="1"/>
        <v>Vlastiti prihodi</v>
      </c>
      <c r="E62" s="50">
        <v>4225</v>
      </c>
      <c r="F62" s="45" t="str">
        <f t="shared" si="2"/>
        <v>Instrumenti, uređaji i strojevi</v>
      </c>
      <c r="G62" s="82" t="s">
        <v>176</v>
      </c>
      <c r="H62" s="45" t="str">
        <f t="shared" si="3"/>
        <v>REDOVNA DJELATNOST SVEUČILIŠTA U OSIJEKU (IZ EVIDENCIJSKIH PRIHODA)</v>
      </c>
      <c r="I62" s="45" t="str">
        <f t="shared" si="4"/>
        <v>0942</v>
      </c>
      <c r="J62" s="81">
        <v>0</v>
      </c>
      <c r="K62" s="224"/>
      <c r="L62" s="224"/>
      <c r="M62" s="49"/>
      <c r="N62" s="246" t="str">
        <f>IF(C62="","",'OPĆI DIO'!$C$1)</f>
        <v>2452 SVEUČILIŠTE J. J. STROSSMAYERA U OSIJEKU</v>
      </c>
      <c r="O62" s="40" t="str">
        <f t="shared" si="5"/>
        <v>422</v>
      </c>
      <c r="P62" s="40" t="str">
        <f t="shared" si="6"/>
        <v>42</v>
      </c>
      <c r="Q62" s="40" t="str">
        <f t="shared" si="7"/>
        <v>31</v>
      </c>
      <c r="R62" s="40" t="str">
        <f t="shared" si="8"/>
        <v>94</v>
      </c>
      <c r="S62" s="40" t="str">
        <f t="shared" si="9"/>
        <v>4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31</v>
      </c>
      <c r="D63" s="45" t="str">
        <f t="shared" si="1"/>
        <v>Vlastiti prihodi</v>
      </c>
      <c r="E63" s="50">
        <v>4241</v>
      </c>
      <c r="F63" s="45" t="str">
        <f t="shared" si="2"/>
        <v>Knjige</v>
      </c>
      <c r="G63" s="82" t="s">
        <v>176</v>
      </c>
      <c r="H63" s="45" t="str">
        <f t="shared" si="3"/>
        <v>REDOVNA DJELATNOST SVEUČILIŠTA U OSIJEKU (IZ EVIDENCIJSKIH PRIHODA)</v>
      </c>
      <c r="I63" s="45" t="str">
        <f t="shared" si="4"/>
        <v>0942</v>
      </c>
      <c r="J63" s="81">
        <v>0</v>
      </c>
      <c r="K63" s="224"/>
      <c r="L63" s="224"/>
      <c r="M63" s="49"/>
      <c r="N63" s="246" t="str">
        <f>IF(C63="","",'OPĆI DIO'!$C$1)</f>
        <v>2452 SVEUČILIŠTE J. J. STROSSMAYERA U OSIJEKU</v>
      </c>
      <c r="O63" s="40" t="str">
        <f t="shared" si="5"/>
        <v>424</v>
      </c>
      <c r="P63" s="40" t="str">
        <f t="shared" si="6"/>
        <v>42</v>
      </c>
      <c r="Q63" s="40" t="str">
        <f t="shared" si="7"/>
        <v>31</v>
      </c>
      <c r="R63" s="40" t="str">
        <f t="shared" si="8"/>
        <v>94</v>
      </c>
      <c r="S63" s="40" t="str">
        <f t="shared" si="9"/>
        <v>4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43</v>
      </c>
      <c r="D64" s="45" t="str">
        <f t="shared" si="1"/>
        <v>Ostali prihodi za posebne namjene</v>
      </c>
      <c r="E64" s="50">
        <v>3121</v>
      </c>
      <c r="F64" s="45" t="str">
        <f t="shared" si="2"/>
        <v>Ostali rashodi za zaposlene</v>
      </c>
      <c r="G64" s="82" t="s">
        <v>176</v>
      </c>
      <c r="H64" s="45" t="str">
        <f t="shared" si="3"/>
        <v>REDOVNA DJELATNOST SVEUČILIŠTA U OSIJEKU (IZ EVIDENCIJSKIH PRIHODA)</v>
      </c>
      <c r="I64" s="45" t="str">
        <f t="shared" si="4"/>
        <v>0942</v>
      </c>
      <c r="J64" s="370">
        <v>0</v>
      </c>
      <c r="K64" s="370">
        <v>0</v>
      </c>
      <c r="L64" s="370">
        <v>0</v>
      </c>
      <c r="M64" s="49"/>
      <c r="N64" s="246" t="str">
        <f>IF(C64="","",'OPĆI DIO'!$C$1)</f>
        <v>2452 SVEUČILIŠTE J. J. STROSSMAYERA U OSIJEKU</v>
      </c>
      <c r="O64" s="40" t="str">
        <f t="shared" si="5"/>
        <v>312</v>
      </c>
      <c r="P64" s="40" t="str">
        <f t="shared" si="6"/>
        <v>31</v>
      </c>
      <c r="Q64" s="40" t="str">
        <f t="shared" si="7"/>
        <v>43</v>
      </c>
      <c r="R64" s="40" t="str">
        <f t="shared" si="8"/>
        <v>94</v>
      </c>
      <c r="S64" s="40" t="str">
        <f t="shared" si="9"/>
        <v>3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43</v>
      </c>
      <c r="D65" s="45" t="str">
        <f t="shared" si="1"/>
        <v>Ostali prihodi za posebne namjene</v>
      </c>
      <c r="E65" s="50">
        <v>3211</v>
      </c>
      <c r="F65" s="45" t="str">
        <f t="shared" si="2"/>
        <v>Službena putovanja</v>
      </c>
      <c r="G65" s="82" t="s">
        <v>176</v>
      </c>
      <c r="H65" s="45" t="str">
        <f t="shared" si="3"/>
        <v>REDOVNA DJELATNOST SVEUČILIŠTA U OSIJEKU (IZ EVIDENCIJSKIH PRIHODA)</v>
      </c>
      <c r="I65" s="45" t="str">
        <f t="shared" si="4"/>
        <v>0942</v>
      </c>
      <c r="J65" s="370">
        <v>5000</v>
      </c>
      <c r="K65" s="370">
        <v>4700</v>
      </c>
      <c r="L65" s="370">
        <v>3000</v>
      </c>
      <c r="M65" s="49"/>
      <c r="N65" s="246" t="str">
        <f>IF(C65="","",'OPĆI DIO'!$C$1)</f>
        <v>2452 SVEUČILIŠTE J. J. STROSSMAYERA U OSIJEKU</v>
      </c>
      <c r="O65" s="40" t="str">
        <f t="shared" si="5"/>
        <v>321</v>
      </c>
      <c r="P65" s="40" t="str">
        <f t="shared" si="6"/>
        <v>32</v>
      </c>
      <c r="Q65" s="40" t="str">
        <f t="shared" si="7"/>
        <v>43</v>
      </c>
      <c r="R65" s="40" t="str">
        <f t="shared" si="8"/>
        <v>94</v>
      </c>
      <c r="S65" s="40" t="str">
        <f t="shared" si="9"/>
        <v>3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43</v>
      </c>
      <c r="D66" s="45" t="str">
        <f t="shared" si="1"/>
        <v>Ostali prihodi za posebne namjene</v>
      </c>
      <c r="E66" s="50">
        <v>3213</v>
      </c>
      <c r="F66" s="45" t="str">
        <f t="shared" si="2"/>
        <v>Stručno usavršavanje zaposlenika</v>
      </c>
      <c r="G66" s="82" t="s">
        <v>176</v>
      </c>
      <c r="H66" s="45" t="str">
        <f t="shared" si="3"/>
        <v>REDOVNA DJELATNOST SVEUČILIŠTA U OSIJEKU (IZ EVIDENCIJSKIH PRIHODA)</v>
      </c>
      <c r="I66" s="45" t="str">
        <f t="shared" si="4"/>
        <v>0942</v>
      </c>
      <c r="J66" s="370">
        <v>0</v>
      </c>
      <c r="K66" s="370">
        <v>0</v>
      </c>
      <c r="L66" s="370">
        <v>0</v>
      </c>
      <c r="M66" s="49"/>
      <c r="N66" s="246" t="str">
        <f>IF(C66="","",'OPĆI DIO'!$C$1)</f>
        <v>2452 SVEUČILIŠTE J. J. STROSSMAYERA U OSIJEKU</v>
      </c>
      <c r="O66" s="40" t="str">
        <f t="shared" si="5"/>
        <v>321</v>
      </c>
      <c r="P66" s="40" t="str">
        <f t="shared" si="6"/>
        <v>32</v>
      </c>
      <c r="Q66" s="40" t="str">
        <f t="shared" si="7"/>
        <v>43</v>
      </c>
      <c r="R66" s="40" t="str">
        <f t="shared" si="8"/>
        <v>94</v>
      </c>
      <c r="S66" s="40" t="str">
        <f t="shared" si="9"/>
        <v>3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43</v>
      </c>
      <c r="D67" s="45" t="str">
        <f t="shared" ref="D67:D130" si="14">IFERROR(VLOOKUP(C67,$T$6:$U$24,2,FALSE),"")</f>
        <v>Ostali prihodi za posebne namjene</v>
      </c>
      <c r="E67" s="50">
        <v>3221</v>
      </c>
      <c r="F67" s="45" t="str">
        <f t="shared" si="2"/>
        <v>Uredski materijal i ostali materijalni rashodi</v>
      </c>
      <c r="G67" s="82" t="s">
        <v>176</v>
      </c>
      <c r="H67" s="45" t="str">
        <f t="shared" si="3"/>
        <v>REDOVNA DJELATNOST SVEUČILIŠTA U OSIJEKU (IZ EVIDENCIJSKIH PRIHODA)</v>
      </c>
      <c r="I67" s="45" t="str">
        <f t="shared" si="4"/>
        <v>0942</v>
      </c>
      <c r="J67" s="370">
        <v>15000</v>
      </c>
      <c r="K67" s="370">
        <v>13000</v>
      </c>
      <c r="L67" s="370">
        <v>10000</v>
      </c>
      <c r="M67" s="49"/>
      <c r="N67" s="246" t="str">
        <f>IF(C67="","",'OPĆI DIO'!$C$1)</f>
        <v>2452 SVEUČILIŠTE J. J. STROSSMAYERA U OSIJEKU</v>
      </c>
      <c r="O67" s="40" t="str">
        <f t="shared" si="5"/>
        <v>322</v>
      </c>
      <c r="P67" s="40" t="str">
        <f t="shared" si="6"/>
        <v>32</v>
      </c>
      <c r="Q67" s="40" t="str">
        <f t="shared" si="7"/>
        <v>43</v>
      </c>
      <c r="R67" s="40" t="str">
        <f t="shared" si="8"/>
        <v>94</v>
      </c>
      <c r="S67" s="40" t="str">
        <f t="shared" si="9"/>
        <v>3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43</v>
      </c>
      <c r="D68" s="45" t="str">
        <f t="shared" si="14"/>
        <v>Ostali prihodi za posebne namjene</v>
      </c>
      <c r="E68" s="50">
        <v>3223</v>
      </c>
      <c r="F68" s="45" t="str">
        <f t="shared" ref="F68:F131" si="15">IFERROR(VLOOKUP(E68,$W$5:$Y$129,2,FALSE),"")</f>
        <v>Energija</v>
      </c>
      <c r="G68" s="82" t="s">
        <v>176</v>
      </c>
      <c r="H68" s="45" t="str">
        <f t="shared" ref="H68:H131" si="16">IFERROR(VLOOKUP(G68,$AC$6:$AD$344,2,FALSE),"")</f>
        <v>REDOVNA DJELATNOST SVEUČILIŠTA U OSIJEKU (IZ EVIDENCIJSKIH PRIHODA)</v>
      </c>
      <c r="I68" s="45" t="str">
        <f t="shared" ref="I68:I131" si="17">IFERROR(VLOOKUP(G68,$AC$6:$AG$344,3,FALSE),"")</f>
        <v>0942</v>
      </c>
      <c r="J68" s="370">
        <v>0</v>
      </c>
      <c r="K68" s="370">
        <v>0</v>
      </c>
      <c r="L68" s="370">
        <v>0</v>
      </c>
      <c r="M68" s="49"/>
      <c r="N68" s="246" t="str">
        <f>IF(C68="","",'OPĆI DIO'!$C$1)</f>
        <v>2452 SVEUČILIŠTE J. J. STROSSMAYERA U OSIJEKU</v>
      </c>
      <c r="O68" s="40" t="str">
        <f t="shared" ref="O68:O131" si="18">LEFT(E68,3)</f>
        <v>322</v>
      </c>
      <c r="P68" s="40" t="str">
        <f t="shared" ref="P68:P131" si="19">LEFT(E68,2)</f>
        <v>32</v>
      </c>
      <c r="Q68" s="40" t="str">
        <f t="shared" ref="Q68:Q131" si="20">LEFT(C68,3)</f>
        <v>43</v>
      </c>
      <c r="R68" s="40" t="str">
        <f t="shared" ref="R68:R131" si="21">MID(I68,2,2)</f>
        <v>94</v>
      </c>
      <c r="S68" s="40" t="str">
        <f t="shared" ref="S68:S131" si="22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43</v>
      </c>
      <c r="D69" s="45" t="str">
        <f t="shared" si="14"/>
        <v>Ostali prihodi za posebne namjene</v>
      </c>
      <c r="E69" s="50">
        <v>3224</v>
      </c>
      <c r="F69" s="45" t="str">
        <f t="shared" si="15"/>
        <v>Materijal i dijelovi za tekuće i investicijsko održavanje</v>
      </c>
      <c r="G69" s="82" t="s">
        <v>176</v>
      </c>
      <c r="H69" s="45" t="str">
        <f t="shared" si="16"/>
        <v>REDOVNA DJELATNOST SVEUČILIŠTA U OSIJEKU (IZ EVIDENCIJSKIH PRIHODA)</v>
      </c>
      <c r="I69" s="45" t="str">
        <f t="shared" si="17"/>
        <v>0942</v>
      </c>
      <c r="J69" s="81">
        <v>0</v>
      </c>
      <c r="K69" s="81">
        <v>0</v>
      </c>
      <c r="L69" s="81">
        <v>0</v>
      </c>
      <c r="M69" s="49"/>
      <c r="N69" s="246" t="str">
        <f>IF(C69="","",'OPĆI DIO'!$C$1)</f>
        <v>2452 SVEUČILIŠTE J. J. STROSSMAYERA U OSIJEKU</v>
      </c>
      <c r="O69" s="40" t="str">
        <f t="shared" si="18"/>
        <v>322</v>
      </c>
      <c r="P69" s="40" t="str">
        <f t="shared" si="19"/>
        <v>32</v>
      </c>
      <c r="Q69" s="40" t="str">
        <f t="shared" si="20"/>
        <v>43</v>
      </c>
      <c r="R69" s="40" t="str">
        <f t="shared" si="21"/>
        <v>94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43</v>
      </c>
      <c r="D70" s="45" t="str">
        <f t="shared" si="14"/>
        <v>Ostali prihodi za posebne namjene</v>
      </c>
      <c r="E70" s="50">
        <v>3225</v>
      </c>
      <c r="F70" s="45" t="str">
        <f t="shared" si="15"/>
        <v>Sitni inventar i auto gume</v>
      </c>
      <c r="G70" s="82" t="s">
        <v>176</v>
      </c>
      <c r="H70" s="45" t="str">
        <f t="shared" si="16"/>
        <v>REDOVNA DJELATNOST SVEUČILIŠTA U OSIJEKU (IZ EVIDENCIJSKIH PRIHODA)</v>
      </c>
      <c r="I70" s="45" t="str">
        <f t="shared" si="17"/>
        <v>0942</v>
      </c>
      <c r="J70" s="370">
        <v>0</v>
      </c>
      <c r="K70" s="370">
        <v>0</v>
      </c>
      <c r="L70" s="370">
        <v>0</v>
      </c>
      <c r="M70" s="49"/>
      <c r="N70" s="246" t="str">
        <f>IF(C70="","",'OPĆI DIO'!$C$1)</f>
        <v>2452 SVEUČILIŠTE J. J. STROSSMAYERA U OSIJEKU</v>
      </c>
      <c r="O70" s="40" t="str">
        <f t="shared" si="18"/>
        <v>322</v>
      </c>
      <c r="P70" s="40" t="str">
        <f t="shared" si="19"/>
        <v>32</v>
      </c>
      <c r="Q70" s="40" t="str">
        <f t="shared" si="20"/>
        <v>43</v>
      </c>
      <c r="R70" s="40" t="str">
        <f t="shared" si="21"/>
        <v>94</v>
      </c>
      <c r="S70" s="40" t="str">
        <f t="shared" si="22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43</v>
      </c>
      <c r="D71" s="45" t="str">
        <f t="shared" si="14"/>
        <v>Ostali prihodi za posebne namjene</v>
      </c>
      <c r="E71" s="50">
        <v>3227</v>
      </c>
      <c r="F71" s="45" t="str">
        <f t="shared" si="15"/>
        <v>Službena, radna i zaštitna odjeća i obuća</v>
      </c>
      <c r="G71" s="82" t="s">
        <v>176</v>
      </c>
      <c r="H71" s="45" t="str">
        <f t="shared" si="16"/>
        <v>REDOVNA DJELATNOST SVEUČILIŠTA U OSIJEKU (IZ EVIDENCIJSKIH PRIHODA)</v>
      </c>
      <c r="I71" s="45" t="str">
        <f t="shared" si="17"/>
        <v>0942</v>
      </c>
      <c r="J71" s="370">
        <v>0</v>
      </c>
      <c r="K71" s="370">
        <v>0</v>
      </c>
      <c r="L71" s="370">
        <v>0</v>
      </c>
      <c r="M71" s="49"/>
      <c r="N71" s="246" t="str">
        <f>IF(C71="","",'OPĆI DIO'!$C$1)</f>
        <v>2452 SVEUČILIŠTE J. J. STROSSMAYERA U OSIJEKU</v>
      </c>
      <c r="O71" s="40" t="str">
        <f t="shared" si="18"/>
        <v>322</v>
      </c>
      <c r="P71" s="40" t="str">
        <f t="shared" si="19"/>
        <v>32</v>
      </c>
      <c r="Q71" s="40" t="str">
        <f t="shared" si="20"/>
        <v>43</v>
      </c>
      <c r="R71" s="40" t="str">
        <f t="shared" si="21"/>
        <v>94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43</v>
      </c>
      <c r="D72" s="45" t="str">
        <f t="shared" si="14"/>
        <v>Ostali prihodi za posebne namjene</v>
      </c>
      <c r="E72" s="50">
        <v>3231</v>
      </c>
      <c r="F72" s="45" t="str">
        <f t="shared" si="15"/>
        <v>Usluge telefona, pošte i prijevoza</v>
      </c>
      <c r="G72" s="82" t="s">
        <v>176</v>
      </c>
      <c r="H72" s="45" t="str">
        <f t="shared" si="16"/>
        <v>REDOVNA DJELATNOST SVEUČILIŠTA U OSIJEKU (IZ EVIDENCIJSKIH PRIHODA)</v>
      </c>
      <c r="I72" s="45" t="str">
        <f t="shared" si="17"/>
        <v>0942</v>
      </c>
      <c r="J72" s="370">
        <v>10000</v>
      </c>
      <c r="K72" s="370">
        <v>9000</v>
      </c>
      <c r="L72" s="370">
        <v>7000</v>
      </c>
      <c r="M72" s="49"/>
      <c r="N72" s="246" t="str">
        <f>IF(C72="","",'OPĆI DIO'!$C$1)</f>
        <v>2452 SVEUČILIŠTE J. J. STROSSMAYERA U OSIJEKU</v>
      </c>
      <c r="O72" s="40" t="str">
        <f t="shared" si="18"/>
        <v>323</v>
      </c>
      <c r="P72" s="40" t="str">
        <f t="shared" si="19"/>
        <v>32</v>
      </c>
      <c r="Q72" s="40" t="str">
        <f t="shared" si="20"/>
        <v>43</v>
      </c>
      <c r="R72" s="40" t="str">
        <f t="shared" si="21"/>
        <v>94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43</v>
      </c>
      <c r="D73" s="45" t="str">
        <f t="shared" si="14"/>
        <v>Ostali prihodi za posebne namjene</v>
      </c>
      <c r="E73" s="50">
        <v>3232</v>
      </c>
      <c r="F73" s="45" t="str">
        <f t="shared" si="15"/>
        <v>Usluge tekućeg i investicijskog održavanja</v>
      </c>
      <c r="G73" s="82" t="s">
        <v>176</v>
      </c>
      <c r="H73" s="45" t="str">
        <f t="shared" si="16"/>
        <v>REDOVNA DJELATNOST SVEUČILIŠTA U OSIJEKU (IZ EVIDENCIJSKIH PRIHODA)</v>
      </c>
      <c r="I73" s="45" t="str">
        <f t="shared" si="17"/>
        <v>0942</v>
      </c>
      <c r="J73" s="81">
        <v>0</v>
      </c>
      <c r="K73" s="81">
        <v>0</v>
      </c>
      <c r="L73" s="81">
        <v>0</v>
      </c>
      <c r="M73" s="49"/>
      <c r="N73" s="246" t="str">
        <f>IF(C73="","",'OPĆI DIO'!$C$1)</f>
        <v>2452 SVEUČILIŠTE J. J. STROSSMAYERA U OSIJEKU</v>
      </c>
      <c r="O73" s="40" t="str">
        <f t="shared" si="18"/>
        <v>323</v>
      </c>
      <c r="P73" s="40" t="str">
        <f t="shared" si="19"/>
        <v>32</v>
      </c>
      <c r="Q73" s="40" t="str">
        <f t="shared" si="20"/>
        <v>43</v>
      </c>
      <c r="R73" s="40" t="str">
        <f t="shared" si="21"/>
        <v>94</v>
      </c>
      <c r="S73" s="40" t="str">
        <f t="shared" si="22"/>
        <v>3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43</v>
      </c>
      <c r="D74" s="45" t="str">
        <f t="shared" si="14"/>
        <v>Ostali prihodi za posebne namjene</v>
      </c>
      <c r="E74" s="50">
        <v>3233</v>
      </c>
      <c r="F74" s="45" t="str">
        <f t="shared" si="15"/>
        <v>Usluge promidžbe i informiranja</v>
      </c>
      <c r="G74" s="82" t="s">
        <v>176</v>
      </c>
      <c r="H74" s="45" t="str">
        <f t="shared" si="16"/>
        <v>REDOVNA DJELATNOST SVEUČILIŠTA U OSIJEKU (IZ EVIDENCIJSKIH PRIHODA)</v>
      </c>
      <c r="I74" s="45" t="str">
        <f t="shared" si="17"/>
        <v>0942</v>
      </c>
      <c r="J74" s="370">
        <v>5000</v>
      </c>
      <c r="K74" s="370">
        <v>4600</v>
      </c>
      <c r="L74" s="370">
        <v>3000</v>
      </c>
      <c r="M74" s="49"/>
      <c r="N74" s="246" t="str">
        <f>IF(C74="","",'OPĆI DIO'!$C$1)</f>
        <v>2452 SVEUČILIŠTE J. J. STROSSMAYERA U OSIJEKU</v>
      </c>
      <c r="O74" s="40" t="str">
        <f t="shared" si="18"/>
        <v>323</v>
      </c>
      <c r="P74" s="40" t="str">
        <f t="shared" si="19"/>
        <v>32</v>
      </c>
      <c r="Q74" s="40" t="str">
        <f t="shared" si="20"/>
        <v>43</v>
      </c>
      <c r="R74" s="40" t="str">
        <f t="shared" si="21"/>
        <v>94</v>
      </c>
      <c r="S74" s="40" t="str">
        <f t="shared" si="22"/>
        <v>3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43</v>
      </c>
      <c r="D75" s="45" t="str">
        <f t="shared" si="14"/>
        <v>Ostali prihodi za posebne namjene</v>
      </c>
      <c r="E75" s="50">
        <v>3234</v>
      </c>
      <c r="F75" s="45" t="str">
        <f t="shared" si="15"/>
        <v>Komunalne usluge</v>
      </c>
      <c r="G75" s="82" t="s">
        <v>176</v>
      </c>
      <c r="H75" s="45" t="str">
        <f t="shared" si="16"/>
        <v>REDOVNA DJELATNOST SVEUČILIŠTA U OSIJEKU (IZ EVIDENCIJSKIH PRIHODA)</v>
      </c>
      <c r="I75" s="45" t="str">
        <f t="shared" si="17"/>
        <v>0942</v>
      </c>
      <c r="J75" s="370">
        <v>0</v>
      </c>
      <c r="K75" s="370">
        <v>0</v>
      </c>
      <c r="L75" s="370">
        <v>0</v>
      </c>
      <c r="M75" s="49"/>
      <c r="N75" s="246" t="str">
        <f>IF(C75="","",'OPĆI DIO'!$C$1)</f>
        <v>2452 SVEUČILIŠTE J. J. STROSSMAYERA U OSIJEKU</v>
      </c>
      <c r="O75" s="40" t="str">
        <f t="shared" si="18"/>
        <v>323</v>
      </c>
      <c r="P75" s="40" t="str">
        <f t="shared" si="19"/>
        <v>32</v>
      </c>
      <c r="Q75" s="40" t="str">
        <f t="shared" si="20"/>
        <v>43</v>
      </c>
      <c r="R75" s="40" t="str">
        <f t="shared" si="21"/>
        <v>94</v>
      </c>
      <c r="S75" s="40" t="str">
        <f t="shared" si="22"/>
        <v>3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43</v>
      </c>
      <c r="D76" s="45" t="str">
        <f t="shared" si="14"/>
        <v>Ostali prihodi za posebne namjene</v>
      </c>
      <c r="E76" s="50">
        <v>3235</v>
      </c>
      <c r="F76" s="45" t="str">
        <f t="shared" si="15"/>
        <v>Zakupnine i najamnine</v>
      </c>
      <c r="G76" s="82" t="s">
        <v>176</v>
      </c>
      <c r="H76" s="45" t="str">
        <f t="shared" si="16"/>
        <v>REDOVNA DJELATNOST SVEUČILIŠTA U OSIJEKU (IZ EVIDENCIJSKIH PRIHODA)</v>
      </c>
      <c r="I76" s="45" t="str">
        <f t="shared" si="17"/>
        <v>0942</v>
      </c>
      <c r="J76" s="370">
        <v>1600</v>
      </c>
      <c r="K76" s="370">
        <v>1300</v>
      </c>
      <c r="L76" s="370">
        <v>1000</v>
      </c>
      <c r="M76" s="49"/>
      <c r="N76" s="246" t="str">
        <f>IF(C76="","",'OPĆI DIO'!$C$1)</f>
        <v>2452 SVEUČILIŠTE J. J. STROSSMAYERA U OSIJEKU</v>
      </c>
      <c r="O76" s="40" t="str">
        <f t="shared" si="18"/>
        <v>323</v>
      </c>
      <c r="P76" s="40" t="str">
        <f t="shared" si="19"/>
        <v>32</v>
      </c>
      <c r="Q76" s="40" t="str">
        <f t="shared" si="20"/>
        <v>43</v>
      </c>
      <c r="R76" s="40" t="str">
        <f t="shared" si="21"/>
        <v>94</v>
      </c>
      <c r="S76" s="40" t="str">
        <f t="shared" si="22"/>
        <v>3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50">
        <v>43</v>
      </c>
      <c r="D77" s="45" t="str">
        <f t="shared" si="14"/>
        <v>Ostali prihodi za posebne namjene</v>
      </c>
      <c r="E77" s="50">
        <v>3236</v>
      </c>
      <c r="F77" s="45" t="str">
        <f t="shared" si="15"/>
        <v>Zdravstvene i veterinarske usluge</v>
      </c>
      <c r="G77" s="82" t="s">
        <v>176</v>
      </c>
      <c r="H77" s="45" t="str">
        <f t="shared" si="16"/>
        <v>REDOVNA DJELATNOST SVEUČILIŠTA U OSIJEKU (IZ EVIDENCIJSKIH PRIHODA)</v>
      </c>
      <c r="I77" s="45" t="str">
        <f t="shared" si="17"/>
        <v>0942</v>
      </c>
      <c r="J77" s="81">
        <v>0</v>
      </c>
      <c r="K77" s="81">
        <v>0</v>
      </c>
      <c r="L77" s="81">
        <v>0</v>
      </c>
      <c r="M77" s="49"/>
      <c r="N77" s="246" t="str">
        <f>IF(C77="","",'OPĆI DIO'!$C$1)</f>
        <v>2452 SVEUČILIŠTE J. J. STROSSMAYERA U OSIJEKU</v>
      </c>
      <c r="O77" s="40" t="str">
        <f t="shared" si="18"/>
        <v>323</v>
      </c>
      <c r="P77" s="40" t="str">
        <f t="shared" si="19"/>
        <v>32</v>
      </c>
      <c r="Q77" s="40" t="str">
        <f t="shared" si="20"/>
        <v>43</v>
      </c>
      <c r="R77" s="40" t="str">
        <f t="shared" si="21"/>
        <v>94</v>
      </c>
      <c r="S77" s="40" t="str">
        <f t="shared" si="22"/>
        <v>3</v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50">
        <v>43</v>
      </c>
      <c r="D78" s="45" t="str">
        <f t="shared" si="14"/>
        <v>Ostali prihodi za posebne namjene</v>
      </c>
      <c r="E78" s="50">
        <v>3237</v>
      </c>
      <c r="F78" s="45" t="str">
        <f t="shared" si="15"/>
        <v>Intelektualne i osobne usluge</v>
      </c>
      <c r="G78" s="82" t="s">
        <v>176</v>
      </c>
      <c r="H78" s="45" t="str">
        <f t="shared" si="16"/>
        <v>REDOVNA DJELATNOST SVEUČILIŠTA U OSIJEKU (IZ EVIDENCIJSKIH PRIHODA)</v>
      </c>
      <c r="I78" s="45" t="str">
        <f t="shared" si="17"/>
        <v>0942</v>
      </c>
      <c r="J78" s="370">
        <v>150000</v>
      </c>
      <c r="K78" s="370">
        <v>130000</v>
      </c>
      <c r="L78" s="370">
        <v>100000</v>
      </c>
      <c r="M78" s="49"/>
      <c r="N78" s="246" t="str">
        <f>IF(C78="","",'OPĆI DIO'!$C$1)</f>
        <v>2452 SVEUČILIŠTE J. J. STROSSMAYERA U OSIJEKU</v>
      </c>
      <c r="O78" s="40" t="str">
        <f t="shared" si="18"/>
        <v>323</v>
      </c>
      <c r="P78" s="40" t="str">
        <f t="shared" si="19"/>
        <v>32</v>
      </c>
      <c r="Q78" s="40" t="str">
        <f t="shared" si="20"/>
        <v>43</v>
      </c>
      <c r="R78" s="40" t="str">
        <f t="shared" si="21"/>
        <v>94</v>
      </c>
      <c r="S78" s="40" t="str">
        <f t="shared" si="22"/>
        <v>3</v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50">
        <v>43</v>
      </c>
      <c r="D79" s="45" t="str">
        <f t="shared" si="14"/>
        <v>Ostali prihodi za posebne namjene</v>
      </c>
      <c r="E79" s="50">
        <v>3238</v>
      </c>
      <c r="F79" s="45" t="str">
        <f t="shared" si="15"/>
        <v>Računalne usluge</v>
      </c>
      <c r="G79" s="82" t="s">
        <v>176</v>
      </c>
      <c r="H79" s="45" t="str">
        <f t="shared" si="16"/>
        <v>REDOVNA DJELATNOST SVEUČILIŠTA U OSIJEKU (IZ EVIDENCIJSKIH PRIHODA)</v>
      </c>
      <c r="I79" s="45" t="str">
        <f t="shared" si="17"/>
        <v>0942</v>
      </c>
      <c r="J79" s="370">
        <v>100</v>
      </c>
      <c r="K79" s="370">
        <v>100</v>
      </c>
      <c r="L79" s="370">
        <v>50</v>
      </c>
      <c r="M79" s="49"/>
      <c r="N79" s="246" t="str">
        <f>IF(C79="","",'OPĆI DIO'!$C$1)</f>
        <v>2452 SVEUČILIŠTE J. J. STROSSMAYERA U OSIJEKU</v>
      </c>
      <c r="O79" s="40" t="str">
        <f t="shared" si="18"/>
        <v>323</v>
      </c>
      <c r="P79" s="40" t="str">
        <f t="shared" si="19"/>
        <v>32</v>
      </c>
      <c r="Q79" s="40" t="str">
        <f t="shared" si="20"/>
        <v>43</v>
      </c>
      <c r="R79" s="40" t="str">
        <f t="shared" si="21"/>
        <v>94</v>
      </c>
      <c r="S79" s="40" t="str">
        <f t="shared" si="22"/>
        <v>3</v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50">
        <v>43</v>
      </c>
      <c r="D80" s="45" t="str">
        <f t="shared" si="14"/>
        <v>Ostali prihodi za posebne namjene</v>
      </c>
      <c r="E80" s="50">
        <v>3239</v>
      </c>
      <c r="F80" s="45" t="str">
        <f t="shared" si="15"/>
        <v>Ostale usluge</v>
      </c>
      <c r="G80" s="82" t="s">
        <v>176</v>
      </c>
      <c r="H80" s="45" t="str">
        <f t="shared" si="16"/>
        <v>REDOVNA DJELATNOST SVEUČILIŠTA U OSIJEKU (IZ EVIDENCIJSKIH PRIHODA)</v>
      </c>
      <c r="I80" s="45" t="str">
        <f t="shared" si="17"/>
        <v>0942</v>
      </c>
      <c r="J80" s="370">
        <v>25000</v>
      </c>
      <c r="K80" s="370">
        <v>20000</v>
      </c>
      <c r="L80" s="370">
        <v>13000</v>
      </c>
      <c r="M80" s="49"/>
      <c r="N80" s="246" t="str">
        <f>IF(C80="","",'OPĆI DIO'!$C$1)</f>
        <v>2452 SVEUČILIŠTE J. J. STROSSMAYERA U OSIJEKU</v>
      </c>
      <c r="O80" s="40" t="str">
        <f t="shared" si="18"/>
        <v>323</v>
      </c>
      <c r="P80" s="40" t="str">
        <f t="shared" si="19"/>
        <v>32</v>
      </c>
      <c r="Q80" s="40" t="str">
        <f t="shared" si="20"/>
        <v>43</v>
      </c>
      <c r="R80" s="40" t="str">
        <f t="shared" si="21"/>
        <v>94</v>
      </c>
      <c r="S80" s="40" t="str">
        <f t="shared" si="22"/>
        <v>3</v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08006</v>
      </c>
      <c r="B81" s="44" t="str">
        <f>IF(C81="","",VLOOKUP('OPĆI DIO'!$C$1,'OPĆI DIO'!$N$4:$W$137,9,FALSE))</f>
        <v>Sveučilišta i veleučilišta u Republici Hrvatskoj</v>
      </c>
      <c r="C81" s="50">
        <v>43</v>
      </c>
      <c r="D81" s="45" t="str">
        <f t="shared" si="14"/>
        <v>Ostali prihodi za posebne namjene</v>
      </c>
      <c r="E81" s="50">
        <v>3241</v>
      </c>
      <c r="F81" s="45" t="str">
        <f t="shared" si="15"/>
        <v>Naknade troškova osobama izvan radnog odnosa</v>
      </c>
      <c r="G81" s="82" t="s">
        <v>176</v>
      </c>
      <c r="H81" s="45" t="str">
        <f t="shared" si="16"/>
        <v>REDOVNA DJELATNOST SVEUČILIŠTA U OSIJEKU (IZ EVIDENCIJSKIH PRIHODA)</v>
      </c>
      <c r="I81" s="45" t="str">
        <f t="shared" si="17"/>
        <v>0942</v>
      </c>
      <c r="J81" s="370">
        <v>50000</v>
      </c>
      <c r="K81" s="370">
        <v>40000</v>
      </c>
      <c r="L81" s="370">
        <v>25000</v>
      </c>
      <c r="M81" s="49"/>
      <c r="N81" s="246" t="str">
        <f>IF(C81="","",'OPĆI DIO'!$C$1)</f>
        <v>2452 SVEUČILIŠTE J. J. STROSSMAYERA U OSIJEKU</v>
      </c>
      <c r="O81" s="40" t="str">
        <f t="shared" si="18"/>
        <v>324</v>
      </c>
      <c r="P81" s="40" t="str">
        <f t="shared" si="19"/>
        <v>32</v>
      </c>
      <c r="Q81" s="40" t="str">
        <f t="shared" si="20"/>
        <v>43</v>
      </c>
      <c r="R81" s="40" t="str">
        <f t="shared" si="21"/>
        <v>94</v>
      </c>
      <c r="S81" s="40" t="str">
        <f t="shared" si="22"/>
        <v>3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50">
        <v>43</v>
      </c>
      <c r="D82" s="45" t="str">
        <f t="shared" si="14"/>
        <v>Ostali prihodi za posebne namjene</v>
      </c>
      <c r="E82" s="50">
        <v>3292</v>
      </c>
      <c r="F82" s="45" t="str">
        <f t="shared" si="15"/>
        <v>Premije osiguranja</v>
      </c>
      <c r="G82" s="82" t="s">
        <v>176</v>
      </c>
      <c r="H82" s="45" t="str">
        <f t="shared" si="16"/>
        <v>REDOVNA DJELATNOST SVEUČILIŠTA U OSIJEKU (IZ EVIDENCIJSKIH PRIHODA)</v>
      </c>
      <c r="I82" s="45" t="str">
        <f t="shared" si="17"/>
        <v>0942</v>
      </c>
      <c r="J82" s="81">
        <v>0</v>
      </c>
      <c r="K82" s="81">
        <v>0</v>
      </c>
      <c r="L82" s="81">
        <v>0</v>
      </c>
      <c r="M82" s="49"/>
      <c r="N82" s="246" t="str">
        <f>IF(C82="","",'OPĆI DIO'!$C$1)</f>
        <v>2452 SVEUČILIŠTE J. J. STROSSMAYERA U OSIJEKU</v>
      </c>
      <c r="O82" s="40" t="str">
        <f t="shared" si="18"/>
        <v>329</v>
      </c>
      <c r="P82" s="40" t="str">
        <f t="shared" si="19"/>
        <v>32</v>
      </c>
      <c r="Q82" s="40" t="str">
        <f t="shared" si="20"/>
        <v>43</v>
      </c>
      <c r="R82" s="40" t="str">
        <f t="shared" si="21"/>
        <v>94</v>
      </c>
      <c r="S82" s="40" t="str">
        <f t="shared" si="22"/>
        <v>3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50">
        <v>43</v>
      </c>
      <c r="D83" s="45" t="str">
        <f t="shared" si="14"/>
        <v>Ostali prihodi za posebne namjene</v>
      </c>
      <c r="E83" s="50">
        <v>3293</v>
      </c>
      <c r="F83" s="45" t="str">
        <f t="shared" si="15"/>
        <v>Reprezentacija</v>
      </c>
      <c r="G83" s="82" t="s">
        <v>176</v>
      </c>
      <c r="H83" s="45" t="str">
        <f t="shared" si="16"/>
        <v>REDOVNA DJELATNOST SVEUČILIŠTA U OSIJEKU (IZ EVIDENCIJSKIH PRIHODA)</v>
      </c>
      <c r="I83" s="45" t="str">
        <f t="shared" si="17"/>
        <v>0942</v>
      </c>
      <c r="J83" s="370">
        <v>2000</v>
      </c>
      <c r="K83" s="370">
        <v>1600</v>
      </c>
      <c r="L83" s="370">
        <v>1000</v>
      </c>
      <c r="M83" s="49"/>
      <c r="N83" s="246" t="str">
        <f>IF(C83="","",'OPĆI DIO'!$C$1)</f>
        <v>2452 SVEUČILIŠTE J. J. STROSSMAYERA U OSIJEKU</v>
      </c>
      <c r="O83" s="40" t="str">
        <f t="shared" si="18"/>
        <v>329</v>
      </c>
      <c r="P83" s="40" t="str">
        <f t="shared" si="19"/>
        <v>32</v>
      </c>
      <c r="Q83" s="40" t="str">
        <f t="shared" si="20"/>
        <v>43</v>
      </c>
      <c r="R83" s="40" t="str">
        <f t="shared" si="21"/>
        <v>94</v>
      </c>
      <c r="S83" s="40" t="str">
        <f t="shared" si="22"/>
        <v>3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08006</v>
      </c>
      <c r="B84" s="44" t="str">
        <f>IF(C84="","",VLOOKUP('OPĆI DIO'!$C$1,'OPĆI DIO'!$N$4:$W$137,9,FALSE))</f>
        <v>Sveučilišta i veleučilišta u Republici Hrvatskoj</v>
      </c>
      <c r="C84" s="50">
        <v>43</v>
      </c>
      <c r="D84" s="45" t="str">
        <f t="shared" si="14"/>
        <v>Ostali prihodi za posebne namjene</v>
      </c>
      <c r="E84" s="50">
        <v>3294</v>
      </c>
      <c r="F84" s="45" t="str">
        <f t="shared" si="15"/>
        <v>Članarine i norme</v>
      </c>
      <c r="G84" s="82" t="s">
        <v>176</v>
      </c>
      <c r="H84" s="45" t="str">
        <f t="shared" si="16"/>
        <v>REDOVNA DJELATNOST SVEUČILIŠTA U OSIJEKU (IZ EVIDENCIJSKIH PRIHODA)</v>
      </c>
      <c r="I84" s="45" t="str">
        <f t="shared" si="17"/>
        <v>0942</v>
      </c>
      <c r="J84" s="81">
        <v>0</v>
      </c>
      <c r="K84" s="81">
        <v>0</v>
      </c>
      <c r="L84" s="81">
        <v>0</v>
      </c>
      <c r="M84" s="49"/>
      <c r="N84" s="246" t="str">
        <f>IF(C84="","",'OPĆI DIO'!$C$1)</f>
        <v>2452 SVEUČILIŠTE J. J. STROSSMAYERA U OSIJEKU</v>
      </c>
      <c r="O84" s="40" t="str">
        <f t="shared" si="18"/>
        <v>329</v>
      </c>
      <c r="P84" s="40" t="str">
        <f t="shared" si="19"/>
        <v>32</v>
      </c>
      <c r="Q84" s="40" t="str">
        <f t="shared" si="20"/>
        <v>43</v>
      </c>
      <c r="R84" s="40" t="str">
        <f t="shared" si="21"/>
        <v>94</v>
      </c>
      <c r="S84" s="40" t="str">
        <f t="shared" si="22"/>
        <v>3</v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>08006</v>
      </c>
      <c r="B85" s="44" t="str">
        <f>IF(C85="","",VLOOKUP('OPĆI DIO'!$C$1,'OPĆI DIO'!$N$4:$W$137,9,FALSE))</f>
        <v>Sveučilišta i veleučilišta u Republici Hrvatskoj</v>
      </c>
      <c r="C85" s="50">
        <v>43</v>
      </c>
      <c r="D85" s="45" t="str">
        <f t="shared" si="14"/>
        <v>Ostali prihodi za posebne namjene</v>
      </c>
      <c r="E85" s="50">
        <v>3295</v>
      </c>
      <c r="F85" s="45" t="str">
        <f t="shared" si="15"/>
        <v>Pristojbe i naknade</v>
      </c>
      <c r="G85" s="82" t="s">
        <v>176</v>
      </c>
      <c r="H85" s="45" t="str">
        <f t="shared" si="16"/>
        <v>REDOVNA DJELATNOST SVEUČILIŠTA U OSIJEKU (IZ EVIDENCIJSKIH PRIHODA)</v>
      </c>
      <c r="I85" s="45" t="str">
        <f t="shared" si="17"/>
        <v>0942</v>
      </c>
      <c r="J85" s="81">
        <v>0</v>
      </c>
      <c r="K85" s="81">
        <v>0</v>
      </c>
      <c r="L85" s="81">
        <v>0</v>
      </c>
      <c r="M85" s="49"/>
      <c r="N85" s="246" t="str">
        <f>IF(C85="","",'OPĆI DIO'!$C$1)</f>
        <v>2452 SVEUČILIŠTE J. J. STROSSMAYERA U OSIJEKU</v>
      </c>
      <c r="O85" s="40" t="str">
        <f t="shared" si="18"/>
        <v>329</v>
      </c>
      <c r="P85" s="40" t="str">
        <f t="shared" si="19"/>
        <v>32</v>
      </c>
      <c r="Q85" s="40" t="str">
        <f t="shared" si="20"/>
        <v>43</v>
      </c>
      <c r="R85" s="40" t="str">
        <f t="shared" si="21"/>
        <v>94</v>
      </c>
      <c r="S85" s="40" t="str">
        <f t="shared" si="22"/>
        <v>3</v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08006</v>
      </c>
      <c r="B86" s="44" t="str">
        <f>IF(C86="","",VLOOKUP('OPĆI DIO'!$C$1,'OPĆI DIO'!$N$4:$W$137,9,FALSE))</f>
        <v>Sveučilišta i veleučilišta u Republici Hrvatskoj</v>
      </c>
      <c r="C86" s="50">
        <v>43</v>
      </c>
      <c r="D86" s="45" t="str">
        <f t="shared" si="14"/>
        <v>Ostali prihodi za posebne namjene</v>
      </c>
      <c r="E86" s="50">
        <v>3299</v>
      </c>
      <c r="F86" s="45" t="str">
        <f t="shared" si="15"/>
        <v>Ostali nespomenuti rashodi poslovanja</v>
      </c>
      <c r="G86" s="82" t="s">
        <v>176</v>
      </c>
      <c r="H86" s="45" t="str">
        <f t="shared" si="16"/>
        <v>REDOVNA DJELATNOST SVEUČILIŠTA U OSIJEKU (IZ EVIDENCIJSKIH PRIHODA)</v>
      </c>
      <c r="I86" s="45" t="str">
        <f t="shared" si="17"/>
        <v>0942</v>
      </c>
      <c r="J86" s="370">
        <v>400000</v>
      </c>
      <c r="K86" s="370">
        <v>350000</v>
      </c>
      <c r="L86" s="370">
        <v>320000</v>
      </c>
      <c r="M86" s="49"/>
      <c r="N86" s="246" t="str">
        <f>IF(C86="","",'OPĆI DIO'!$C$1)</f>
        <v>2452 SVEUČILIŠTE J. J. STROSSMAYERA U OSIJEKU</v>
      </c>
      <c r="O86" s="40" t="str">
        <f t="shared" si="18"/>
        <v>329</v>
      </c>
      <c r="P86" s="40" t="str">
        <f t="shared" si="19"/>
        <v>32</v>
      </c>
      <c r="Q86" s="40" t="str">
        <f t="shared" si="20"/>
        <v>43</v>
      </c>
      <c r="R86" s="40" t="str">
        <f t="shared" si="21"/>
        <v>94</v>
      </c>
      <c r="S86" s="40" t="str">
        <f t="shared" si="22"/>
        <v>3</v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>08006</v>
      </c>
      <c r="B87" s="44" t="str">
        <f>IF(C87="","",VLOOKUP('OPĆI DIO'!$C$1,'OPĆI DIO'!$N$4:$W$137,9,FALSE))</f>
        <v>Sveučilišta i veleučilišta u Republici Hrvatskoj</v>
      </c>
      <c r="C87" s="50">
        <v>43</v>
      </c>
      <c r="D87" s="45" t="str">
        <f t="shared" si="14"/>
        <v>Ostali prihodi za posebne namjene</v>
      </c>
      <c r="E87" s="50">
        <v>3431</v>
      </c>
      <c r="F87" s="45" t="str">
        <f t="shared" si="15"/>
        <v>Bankarske usluge i usluge platnog prometa</v>
      </c>
      <c r="G87" s="82" t="s">
        <v>176</v>
      </c>
      <c r="H87" s="45" t="str">
        <f t="shared" si="16"/>
        <v>REDOVNA DJELATNOST SVEUČILIŠTA U OSIJEKU (IZ EVIDENCIJSKIH PRIHODA)</v>
      </c>
      <c r="I87" s="45" t="str">
        <f t="shared" si="17"/>
        <v>0942</v>
      </c>
      <c r="J87" s="370">
        <v>100</v>
      </c>
      <c r="K87" s="370">
        <v>100</v>
      </c>
      <c r="L87" s="370">
        <v>90</v>
      </c>
      <c r="M87" s="49"/>
      <c r="N87" s="246" t="str">
        <f>IF(C87="","",'OPĆI DIO'!$C$1)</f>
        <v>2452 SVEUČILIŠTE J. J. STROSSMAYERA U OSIJEKU</v>
      </c>
      <c r="O87" s="40" t="str">
        <f t="shared" si="18"/>
        <v>343</v>
      </c>
      <c r="P87" s="40" t="str">
        <f t="shared" si="19"/>
        <v>34</v>
      </c>
      <c r="Q87" s="40" t="str">
        <f t="shared" si="20"/>
        <v>43</v>
      </c>
      <c r="R87" s="40" t="str">
        <f t="shared" si="21"/>
        <v>94</v>
      </c>
      <c r="S87" s="40" t="str">
        <f t="shared" si="22"/>
        <v>3</v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>08006</v>
      </c>
      <c r="B88" s="44" t="str">
        <f>IF(C88="","",VLOOKUP('OPĆI DIO'!$C$1,'OPĆI DIO'!$N$4:$W$137,9,FALSE))</f>
        <v>Sveučilišta i veleučilišta u Republici Hrvatskoj</v>
      </c>
      <c r="C88" s="50">
        <v>43</v>
      </c>
      <c r="D88" s="45" t="str">
        <f t="shared" si="14"/>
        <v>Ostali prihodi za posebne namjene</v>
      </c>
      <c r="E88" s="50">
        <v>3432</v>
      </c>
      <c r="F88" s="45" t="str">
        <f t="shared" si="15"/>
        <v>Negativne tečajne razlike i razlike zbog primjene valutne kl</v>
      </c>
      <c r="G88" s="82" t="s">
        <v>176</v>
      </c>
      <c r="H88" s="45" t="str">
        <f t="shared" si="16"/>
        <v>REDOVNA DJELATNOST SVEUČILIŠTA U OSIJEKU (IZ EVIDENCIJSKIH PRIHODA)</v>
      </c>
      <c r="I88" s="45" t="str">
        <f t="shared" si="17"/>
        <v>0942</v>
      </c>
      <c r="J88" s="370">
        <v>0</v>
      </c>
      <c r="K88" s="370">
        <v>0</v>
      </c>
      <c r="L88" s="370">
        <v>0</v>
      </c>
      <c r="M88" s="49"/>
      <c r="N88" s="246" t="str">
        <f>IF(C88="","",'OPĆI DIO'!$C$1)</f>
        <v>2452 SVEUČILIŠTE J. J. STROSSMAYERA U OSIJEKU</v>
      </c>
      <c r="O88" s="40" t="str">
        <f t="shared" si="18"/>
        <v>343</v>
      </c>
      <c r="P88" s="40" t="str">
        <f t="shared" si="19"/>
        <v>34</v>
      </c>
      <c r="Q88" s="40" t="str">
        <f t="shared" si="20"/>
        <v>43</v>
      </c>
      <c r="R88" s="40" t="str">
        <f t="shared" si="21"/>
        <v>94</v>
      </c>
      <c r="S88" s="40" t="str">
        <f t="shared" si="22"/>
        <v>3</v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>08006</v>
      </c>
      <c r="B89" s="44" t="str">
        <f>IF(C89="","",VLOOKUP('OPĆI DIO'!$C$1,'OPĆI DIO'!$N$4:$W$137,9,FALSE))</f>
        <v>Sveučilišta i veleučilišta u Republici Hrvatskoj</v>
      </c>
      <c r="C89" s="50">
        <v>43</v>
      </c>
      <c r="D89" s="45" t="str">
        <f t="shared" si="14"/>
        <v>Ostali prihodi za posebne namjene</v>
      </c>
      <c r="E89" s="50">
        <v>3721</v>
      </c>
      <c r="F89" s="45" t="str">
        <f t="shared" si="15"/>
        <v>Naknade građanima i kućanstvima u novcu</v>
      </c>
      <c r="G89" s="82" t="s">
        <v>176</v>
      </c>
      <c r="H89" s="45" t="str">
        <f t="shared" si="16"/>
        <v>REDOVNA DJELATNOST SVEUČILIŠTA U OSIJEKU (IZ EVIDENCIJSKIH PRIHODA)</v>
      </c>
      <c r="I89" s="45" t="str">
        <f t="shared" si="17"/>
        <v>0942</v>
      </c>
      <c r="J89" s="370">
        <v>15000</v>
      </c>
      <c r="K89" s="370">
        <v>10000</v>
      </c>
      <c r="L89" s="370">
        <v>9000</v>
      </c>
      <c r="M89" s="49"/>
      <c r="N89" s="246" t="str">
        <f>IF(C89="","",'OPĆI DIO'!$C$1)</f>
        <v>2452 SVEUČILIŠTE J. J. STROSSMAYERA U OSIJEKU</v>
      </c>
      <c r="O89" s="40" t="str">
        <f t="shared" si="18"/>
        <v>372</v>
      </c>
      <c r="P89" s="40" t="str">
        <f t="shared" si="19"/>
        <v>37</v>
      </c>
      <c r="Q89" s="40" t="str">
        <f t="shared" si="20"/>
        <v>43</v>
      </c>
      <c r="R89" s="40" t="str">
        <f t="shared" si="21"/>
        <v>94</v>
      </c>
      <c r="S89" s="40" t="str">
        <f t="shared" si="22"/>
        <v>3</v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>08006</v>
      </c>
      <c r="B90" s="44" t="str">
        <f>IF(C90="","",VLOOKUP('OPĆI DIO'!$C$1,'OPĆI DIO'!$N$4:$W$137,9,FALSE))</f>
        <v>Sveučilišta i veleučilišta u Republici Hrvatskoj</v>
      </c>
      <c r="C90" s="50">
        <v>43</v>
      </c>
      <c r="D90" s="45" t="str">
        <f t="shared" si="14"/>
        <v>Ostali prihodi za posebne namjene</v>
      </c>
      <c r="E90" s="50">
        <v>3811</v>
      </c>
      <c r="F90" s="45" t="str">
        <f t="shared" si="15"/>
        <v>Tekuće donacije u novcu</v>
      </c>
      <c r="G90" s="82" t="s">
        <v>176</v>
      </c>
      <c r="H90" s="45" t="str">
        <f t="shared" si="16"/>
        <v>REDOVNA DJELATNOST SVEUČILIŠTA U OSIJEKU (IZ EVIDENCIJSKIH PRIHODA)</v>
      </c>
      <c r="I90" s="45" t="str">
        <f t="shared" si="17"/>
        <v>0942</v>
      </c>
      <c r="J90" s="370">
        <v>1000</v>
      </c>
      <c r="K90" s="370">
        <v>900</v>
      </c>
      <c r="L90" s="370">
        <v>500</v>
      </c>
      <c r="M90" s="49"/>
      <c r="N90" s="246" t="str">
        <f>IF(C90="","",'OPĆI DIO'!$C$1)</f>
        <v>2452 SVEUČILIŠTE J. J. STROSSMAYERA U OSIJEKU</v>
      </c>
      <c r="O90" s="40" t="str">
        <f t="shared" si="18"/>
        <v>381</v>
      </c>
      <c r="P90" s="40" t="str">
        <f t="shared" si="19"/>
        <v>38</v>
      </c>
      <c r="Q90" s="40" t="str">
        <f t="shared" si="20"/>
        <v>43</v>
      </c>
      <c r="R90" s="40" t="str">
        <f t="shared" si="21"/>
        <v>94</v>
      </c>
      <c r="S90" s="40" t="str">
        <f t="shared" si="22"/>
        <v>3</v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08006</v>
      </c>
      <c r="B91" s="44" t="str">
        <f>IF(C91="","",VLOOKUP('OPĆI DIO'!$C$1,'OPĆI DIO'!$N$4:$W$137,9,FALSE))</f>
        <v>Sveučilišta i veleučilišta u Republici Hrvatskoj</v>
      </c>
      <c r="C91" s="50">
        <v>43</v>
      </c>
      <c r="D91" s="45" t="str">
        <f t="shared" si="14"/>
        <v>Ostali prihodi za posebne namjene</v>
      </c>
      <c r="E91" s="50">
        <v>3812</v>
      </c>
      <c r="F91" s="45" t="str">
        <f t="shared" si="15"/>
        <v>Tekuće donacije u naravi</v>
      </c>
      <c r="G91" s="82" t="s">
        <v>176</v>
      </c>
      <c r="H91" s="45" t="str">
        <f t="shared" si="16"/>
        <v>REDOVNA DJELATNOST SVEUČILIŠTA U OSIJEKU (IZ EVIDENCIJSKIH PRIHODA)</v>
      </c>
      <c r="I91" s="45" t="str">
        <f t="shared" si="17"/>
        <v>0942</v>
      </c>
      <c r="J91" s="370">
        <v>0</v>
      </c>
      <c r="K91" s="370">
        <v>0</v>
      </c>
      <c r="L91" s="370">
        <v>0</v>
      </c>
      <c r="M91" s="49"/>
      <c r="N91" s="246" t="str">
        <f>IF(C91="","",'OPĆI DIO'!$C$1)</f>
        <v>2452 SVEUČILIŠTE J. J. STROSSMAYERA U OSIJEKU</v>
      </c>
      <c r="O91" s="40" t="str">
        <f t="shared" si="18"/>
        <v>381</v>
      </c>
      <c r="P91" s="40" t="str">
        <f t="shared" si="19"/>
        <v>38</v>
      </c>
      <c r="Q91" s="40" t="str">
        <f t="shared" si="20"/>
        <v>43</v>
      </c>
      <c r="R91" s="40" t="str">
        <f t="shared" si="21"/>
        <v>94</v>
      </c>
      <c r="S91" s="40" t="str">
        <f t="shared" si="22"/>
        <v>3</v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08006</v>
      </c>
      <c r="B92" s="44" t="str">
        <f>IF(C92="","",VLOOKUP('OPĆI DIO'!$C$1,'OPĆI DIO'!$N$4:$W$137,9,FALSE))</f>
        <v>Sveučilišta i veleučilišta u Republici Hrvatskoj</v>
      </c>
      <c r="C92" s="50">
        <v>43</v>
      </c>
      <c r="D92" s="45" t="str">
        <f t="shared" si="14"/>
        <v>Ostali prihodi za posebne namjene</v>
      </c>
      <c r="E92" s="50">
        <v>4212</v>
      </c>
      <c r="F92" s="45" t="str">
        <f t="shared" si="15"/>
        <v>Poslovni objekti</v>
      </c>
      <c r="G92" s="82" t="s">
        <v>176</v>
      </c>
      <c r="H92" s="45" t="str">
        <f t="shared" si="16"/>
        <v>REDOVNA DJELATNOST SVEUČILIŠTA U OSIJEKU (IZ EVIDENCIJSKIH PRIHODA)</v>
      </c>
      <c r="I92" s="45" t="str">
        <f t="shared" si="17"/>
        <v>0942</v>
      </c>
      <c r="J92" s="370">
        <v>0</v>
      </c>
      <c r="K92" s="370">
        <v>0</v>
      </c>
      <c r="L92" s="370">
        <v>0</v>
      </c>
      <c r="M92" s="49"/>
      <c r="N92" s="246" t="str">
        <f>IF(C92="","",'OPĆI DIO'!$C$1)</f>
        <v>2452 SVEUČILIŠTE J. J. STROSSMAYERA U OSIJEKU</v>
      </c>
      <c r="O92" s="40" t="str">
        <f t="shared" si="18"/>
        <v>421</v>
      </c>
      <c r="P92" s="40" t="str">
        <f t="shared" si="19"/>
        <v>42</v>
      </c>
      <c r="Q92" s="40" t="str">
        <f t="shared" si="20"/>
        <v>43</v>
      </c>
      <c r="R92" s="40" t="str">
        <f t="shared" si="21"/>
        <v>94</v>
      </c>
      <c r="S92" s="40" t="str">
        <f t="shared" si="22"/>
        <v>4</v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>08006</v>
      </c>
      <c r="B93" s="44" t="str">
        <f>IF(C93="","",VLOOKUP('OPĆI DIO'!$C$1,'OPĆI DIO'!$N$4:$W$137,9,FALSE))</f>
        <v>Sveučilišta i veleučilišta u Republici Hrvatskoj</v>
      </c>
      <c r="C93" s="50">
        <v>43</v>
      </c>
      <c r="D93" s="45" t="str">
        <f t="shared" si="14"/>
        <v>Ostali prihodi za posebne namjene</v>
      </c>
      <c r="E93" s="50">
        <v>4221</v>
      </c>
      <c r="F93" s="45" t="str">
        <f t="shared" si="15"/>
        <v>Uredska oprema i namještaj</v>
      </c>
      <c r="G93" s="82" t="s">
        <v>176</v>
      </c>
      <c r="H93" s="45" t="str">
        <f t="shared" si="16"/>
        <v>REDOVNA DJELATNOST SVEUČILIŠTA U OSIJEKU (IZ EVIDENCIJSKIH PRIHODA)</v>
      </c>
      <c r="I93" s="45" t="str">
        <f t="shared" si="17"/>
        <v>0942</v>
      </c>
      <c r="J93" s="370">
        <v>6000</v>
      </c>
      <c r="K93" s="370">
        <v>5500</v>
      </c>
      <c r="L93" s="370">
        <v>4000</v>
      </c>
      <c r="M93" s="49"/>
      <c r="N93" s="246" t="str">
        <f>IF(C93="","",'OPĆI DIO'!$C$1)</f>
        <v>2452 SVEUČILIŠTE J. J. STROSSMAYERA U OSIJEKU</v>
      </c>
      <c r="O93" s="40" t="str">
        <f t="shared" si="18"/>
        <v>422</v>
      </c>
      <c r="P93" s="40" t="str">
        <f t="shared" si="19"/>
        <v>42</v>
      </c>
      <c r="Q93" s="40" t="str">
        <f t="shared" si="20"/>
        <v>43</v>
      </c>
      <c r="R93" s="40" t="str">
        <f t="shared" si="21"/>
        <v>94</v>
      </c>
      <c r="S93" s="40" t="str">
        <f t="shared" si="22"/>
        <v>4</v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>08006</v>
      </c>
      <c r="B94" s="44" t="str">
        <f>IF(C94="","",VLOOKUP('OPĆI DIO'!$C$1,'OPĆI DIO'!$N$4:$W$137,9,FALSE))</f>
        <v>Sveučilišta i veleučilišta u Republici Hrvatskoj</v>
      </c>
      <c r="C94" s="50">
        <v>43</v>
      </c>
      <c r="D94" s="45" t="str">
        <f t="shared" si="14"/>
        <v>Ostali prihodi za posebne namjene</v>
      </c>
      <c r="E94" s="50">
        <v>4223</v>
      </c>
      <c r="F94" s="45" t="str">
        <f t="shared" si="15"/>
        <v>Oprema za održavanje i zaštitu</v>
      </c>
      <c r="G94" s="82" t="s">
        <v>176</v>
      </c>
      <c r="H94" s="45" t="str">
        <f t="shared" si="16"/>
        <v>REDOVNA DJELATNOST SVEUČILIŠTA U OSIJEKU (IZ EVIDENCIJSKIH PRIHODA)</v>
      </c>
      <c r="I94" s="45" t="str">
        <f t="shared" si="17"/>
        <v>0942</v>
      </c>
      <c r="J94" s="81">
        <v>0</v>
      </c>
      <c r="K94" s="81">
        <v>0</v>
      </c>
      <c r="L94" s="81">
        <v>0</v>
      </c>
      <c r="M94" s="49"/>
      <c r="N94" s="246" t="str">
        <f>IF(C94="","",'OPĆI DIO'!$C$1)</f>
        <v>2452 SVEUČILIŠTE J. J. STROSSMAYERA U OSIJEKU</v>
      </c>
      <c r="O94" s="40" t="str">
        <f t="shared" si="18"/>
        <v>422</v>
      </c>
      <c r="P94" s="40" t="str">
        <f t="shared" si="19"/>
        <v>42</v>
      </c>
      <c r="Q94" s="40" t="str">
        <f t="shared" si="20"/>
        <v>43</v>
      </c>
      <c r="R94" s="40" t="str">
        <f t="shared" si="21"/>
        <v>94</v>
      </c>
      <c r="S94" s="40" t="str">
        <f t="shared" si="22"/>
        <v>4</v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08006</v>
      </c>
      <c r="B95" s="44" t="str">
        <f>IF(C95="","",VLOOKUP('OPĆI DIO'!$C$1,'OPĆI DIO'!$N$4:$W$137,9,FALSE))</f>
        <v>Sveučilišta i veleučilišta u Republici Hrvatskoj</v>
      </c>
      <c r="C95" s="50">
        <v>43</v>
      </c>
      <c r="D95" s="45" t="str">
        <f t="shared" si="14"/>
        <v>Ostali prihodi za posebne namjene</v>
      </c>
      <c r="E95" s="50">
        <v>4224</v>
      </c>
      <c r="F95" s="45" t="str">
        <f t="shared" si="15"/>
        <v>Medicinska i laboratorijska oprema</v>
      </c>
      <c r="G95" s="82" t="s">
        <v>176</v>
      </c>
      <c r="H95" s="45" t="str">
        <f t="shared" si="16"/>
        <v>REDOVNA DJELATNOST SVEUČILIŠTA U OSIJEKU (IZ EVIDENCIJSKIH PRIHODA)</v>
      </c>
      <c r="I95" s="45" t="str">
        <f t="shared" si="17"/>
        <v>0942</v>
      </c>
      <c r="J95" s="81">
        <v>80000</v>
      </c>
      <c r="K95" s="81">
        <v>70000</v>
      </c>
      <c r="L95" s="81">
        <v>60000</v>
      </c>
      <c r="M95" s="49"/>
      <c r="N95" s="246" t="str">
        <f>IF(C95="","",'OPĆI DIO'!$C$1)</f>
        <v>2452 SVEUČILIŠTE J. J. STROSSMAYERA U OSIJEKU</v>
      </c>
      <c r="O95" s="40" t="str">
        <f t="shared" si="18"/>
        <v>422</v>
      </c>
      <c r="P95" s="40" t="str">
        <f t="shared" si="19"/>
        <v>42</v>
      </c>
      <c r="Q95" s="40" t="str">
        <f t="shared" si="20"/>
        <v>43</v>
      </c>
      <c r="R95" s="40" t="str">
        <f t="shared" si="21"/>
        <v>94</v>
      </c>
      <c r="S95" s="40" t="str">
        <f t="shared" si="22"/>
        <v>4</v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>08006</v>
      </c>
      <c r="B96" s="44" t="str">
        <f>IF(C96="","",VLOOKUP('OPĆI DIO'!$C$1,'OPĆI DIO'!$N$4:$W$137,9,FALSE))</f>
        <v>Sveučilišta i veleučilišta u Republici Hrvatskoj</v>
      </c>
      <c r="C96" s="50">
        <v>43</v>
      </c>
      <c r="D96" s="45" t="str">
        <f t="shared" si="14"/>
        <v>Ostali prihodi za posebne namjene</v>
      </c>
      <c r="E96" s="50">
        <v>4225</v>
      </c>
      <c r="F96" s="45" t="str">
        <f t="shared" si="15"/>
        <v>Instrumenti, uređaji i strojevi</v>
      </c>
      <c r="G96" s="82" t="s">
        <v>176</v>
      </c>
      <c r="H96" s="45" t="str">
        <f t="shared" si="16"/>
        <v>REDOVNA DJELATNOST SVEUČILIŠTA U OSIJEKU (IZ EVIDENCIJSKIH PRIHODA)</v>
      </c>
      <c r="I96" s="45" t="str">
        <f t="shared" si="17"/>
        <v>0942</v>
      </c>
      <c r="J96" s="81">
        <v>0</v>
      </c>
      <c r="K96" s="81">
        <v>0</v>
      </c>
      <c r="L96" s="81">
        <v>0</v>
      </c>
      <c r="M96" s="49"/>
      <c r="N96" s="246" t="str">
        <f>IF(C96="","",'OPĆI DIO'!$C$1)</f>
        <v>2452 SVEUČILIŠTE J. J. STROSSMAYERA U OSIJEKU</v>
      </c>
      <c r="O96" s="40" t="str">
        <f t="shared" si="18"/>
        <v>422</v>
      </c>
      <c r="P96" s="40" t="str">
        <f t="shared" si="19"/>
        <v>42</v>
      </c>
      <c r="Q96" s="40" t="str">
        <f t="shared" si="20"/>
        <v>43</v>
      </c>
      <c r="R96" s="40" t="str">
        <f t="shared" si="21"/>
        <v>94</v>
      </c>
      <c r="S96" s="40" t="str">
        <f t="shared" si="22"/>
        <v>4</v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>08006</v>
      </c>
      <c r="B97" s="44" t="str">
        <f>IF(C97="","",VLOOKUP('OPĆI DIO'!$C$1,'OPĆI DIO'!$N$4:$W$137,9,FALSE))</f>
        <v>Sveučilišta i veleučilišta u Republici Hrvatskoj</v>
      </c>
      <c r="C97" s="50">
        <v>43</v>
      </c>
      <c r="D97" s="45" t="str">
        <f t="shared" si="14"/>
        <v>Ostali prihodi za posebne namjene</v>
      </c>
      <c r="E97" s="50">
        <v>4227</v>
      </c>
      <c r="F97" s="45" t="str">
        <f t="shared" si="15"/>
        <v>Uređaji, strojevi i oprema za ostale namjene</v>
      </c>
      <c r="G97" s="82" t="s">
        <v>176</v>
      </c>
      <c r="H97" s="45" t="str">
        <f t="shared" si="16"/>
        <v>REDOVNA DJELATNOST SVEUČILIŠTA U OSIJEKU (IZ EVIDENCIJSKIH PRIHODA)</v>
      </c>
      <c r="I97" s="45" t="str">
        <f t="shared" si="17"/>
        <v>0942</v>
      </c>
      <c r="J97" s="81">
        <v>0</v>
      </c>
      <c r="K97" s="81">
        <v>0</v>
      </c>
      <c r="L97" s="81">
        <v>0</v>
      </c>
      <c r="M97" s="49"/>
      <c r="N97" s="246" t="str">
        <f>IF(C97="","",'OPĆI DIO'!$C$1)</f>
        <v>2452 SVEUČILIŠTE J. J. STROSSMAYERA U OSIJEKU</v>
      </c>
      <c r="O97" s="40" t="str">
        <f t="shared" si="18"/>
        <v>422</v>
      </c>
      <c r="P97" s="40" t="str">
        <f t="shared" si="19"/>
        <v>42</v>
      </c>
      <c r="Q97" s="40" t="str">
        <f t="shared" si="20"/>
        <v>43</v>
      </c>
      <c r="R97" s="40" t="str">
        <f t="shared" si="21"/>
        <v>94</v>
      </c>
      <c r="S97" s="40" t="str">
        <f t="shared" si="22"/>
        <v>4</v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>08006</v>
      </c>
      <c r="B98" s="44" t="str">
        <f>IF(C98="","",VLOOKUP('OPĆI DIO'!$C$1,'OPĆI DIO'!$N$4:$W$137,9,FALSE))</f>
        <v>Sveučilišta i veleučilišta u Republici Hrvatskoj</v>
      </c>
      <c r="C98" s="50">
        <v>43</v>
      </c>
      <c r="D98" s="45" t="str">
        <f t="shared" si="14"/>
        <v>Ostali prihodi za posebne namjene</v>
      </c>
      <c r="E98" s="50">
        <v>4241</v>
      </c>
      <c r="F98" s="45" t="str">
        <f t="shared" si="15"/>
        <v>Knjige</v>
      </c>
      <c r="G98" s="82" t="s">
        <v>176</v>
      </c>
      <c r="H98" s="45" t="str">
        <f t="shared" si="16"/>
        <v>REDOVNA DJELATNOST SVEUČILIŠTA U OSIJEKU (IZ EVIDENCIJSKIH PRIHODA)</v>
      </c>
      <c r="I98" s="45" t="str">
        <f t="shared" si="17"/>
        <v>0942</v>
      </c>
      <c r="J98" s="81">
        <v>0</v>
      </c>
      <c r="K98" s="81">
        <v>0</v>
      </c>
      <c r="L98" s="81">
        <v>0</v>
      </c>
      <c r="M98" s="49"/>
      <c r="N98" s="246" t="str">
        <f>IF(C98="","",'OPĆI DIO'!$C$1)</f>
        <v>2452 SVEUČILIŠTE J. J. STROSSMAYERA U OSIJEKU</v>
      </c>
      <c r="O98" s="40" t="str">
        <f t="shared" si="18"/>
        <v>424</v>
      </c>
      <c r="P98" s="40" t="str">
        <f t="shared" si="19"/>
        <v>42</v>
      </c>
      <c r="Q98" s="40" t="str">
        <f t="shared" si="20"/>
        <v>43</v>
      </c>
      <c r="R98" s="40" t="str">
        <f t="shared" si="21"/>
        <v>94</v>
      </c>
      <c r="S98" s="40" t="str">
        <f t="shared" si="22"/>
        <v>4</v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>08006</v>
      </c>
      <c r="B99" s="44" t="str">
        <f>IF(C99="","",VLOOKUP('OPĆI DIO'!$C$1,'OPĆI DIO'!$N$4:$W$137,9,FALSE))</f>
        <v>Sveučilišta i veleučilišta u Republici Hrvatskoj</v>
      </c>
      <c r="C99" s="50">
        <v>43</v>
      </c>
      <c r="D99" s="45" t="str">
        <f t="shared" si="14"/>
        <v>Ostali prihodi za posebne namjene</v>
      </c>
      <c r="E99" s="50">
        <v>4262</v>
      </c>
      <c r="F99" s="45" t="str">
        <f t="shared" si="15"/>
        <v>Ulaganja u računalne programe</v>
      </c>
      <c r="G99" s="82" t="s">
        <v>176</v>
      </c>
      <c r="H99" s="45" t="str">
        <f t="shared" si="16"/>
        <v>REDOVNA DJELATNOST SVEUČILIŠTA U OSIJEKU (IZ EVIDENCIJSKIH PRIHODA)</v>
      </c>
      <c r="I99" s="45" t="str">
        <f t="shared" si="17"/>
        <v>0942</v>
      </c>
      <c r="J99" s="370">
        <v>0</v>
      </c>
      <c r="K99" s="370">
        <v>0</v>
      </c>
      <c r="L99" s="370">
        <v>0</v>
      </c>
      <c r="M99" s="49"/>
      <c r="N99" s="246" t="str">
        <f>IF(C99="","",'OPĆI DIO'!$C$1)</f>
        <v>2452 SVEUČILIŠTE J. J. STROSSMAYERA U OSIJEKU</v>
      </c>
      <c r="O99" s="40" t="str">
        <f t="shared" si="18"/>
        <v>426</v>
      </c>
      <c r="P99" s="40" t="str">
        <f t="shared" si="19"/>
        <v>42</v>
      </c>
      <c r="Q99" s="40" t="str">
        <f t="shared" si="20"/>
        <v>43</v>
      </c>
      <c r="R99" s="40" t="str">
        <f t="shared" si="21"/>
        <v>94</v>
      </c>
      <c r="S99" s="40" t="str">
        <f t="shared" si="22"/>
        <v>4</v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>08006</v>
      </c>
      <c r="B100" s="44" t="str">
        <f>IF(C100="","",VLOOKUP('OPĆI DIO'!$C$1,'OPĆI DIO'!$N$4:$W$137,9,FALSE))</f>
        <v>Sveučilišta i veleučilišta u Republici Hrvatskoj</v>
      </c>
      <c r="C100" s="50">
        <v>43</v>
      </c>
      <c r="D100" s="45" t="str">
        <f t="shared" si="14"/>
        <v>Ostali prihodi za posebne namjene</v>
      </c>
      <c r="E100" s="50">
        <v>4511</v>
      </c>
      <c r="F100" s="45" t="str">
        <f t="shared" si="15"/>
        <v>Dodatna ulaganja na građevinskim objektima</v>
      </c>
      <c r="G100" s="82" t="s">
        <v>176</v>
      </c>
      <c r="H100" s="45" t="str">
        <f t="shared" si="16"/>
        <v>REDOVNA DJELATNOST SVEUČILIŠTA U OSIJEKU (IZ EVIDENCIJSKIH PRIHODA)</v>
      </c>
      <c r="I100" s="45" t="str">
        <f t="shared" si="17"/>
        <v>0942</v>
      </c>
      <c r="J100" s="370">
        <v>0</v>
      </c>
      <c r="K100" s="370">
        <v>0</v>
      </c>
      <c r="L100" s="370">
        <v>0</v>
      </c>
      <c r="M100" s="49"/>
      <c r="N100" s="246" t="str">
        <f>IF(C100="","",'OPĆI DIO'!$C$1)</f>
        <v>2452 SVEUČILIŠTE J. J. STROSSMAYERA U OSIJEKU</v>
      </c>
      <c r="O100" s="40" t="str">
        <f t="shared" si="18"/>
        <v>451</v>
      </c>
      <c r="P100" s="40" t="str">
        <f t="shared" si="19"/>
        <v>45</v>
      </c>
      <c r="Q100" s="40" t="str">
        <f t="shared" si="20"/>
        <v>43</v>
      </c>
      <c r="R100" s="40" t="str">
        <f t="shared" si="21"/>
        <v>94</v>
      </c>
      <c r="S100" s="40" t="str">
        <f t="shared" si="22"/>
        <v>4</v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>08006</v>
      </c>
      <c r="B101" s="44" t="str">
        <f>IF(C101="","",VLOOKUP('OPĆI DIO'!$C$1,'OPĆI DIO'!$N$4:$W$137,9,FALSE))</f>
        <v>Sveučilišta i veleučilišta u Republici Hrvatskoj</v>
      </c>
      <c r="C101" s="50">
        <v>52</v>
      </c>
      <c r="D101" s="45" t="str">
        <f t="shared" si="14"/>
        <v>Ostale pomoći</v>
      </c>
      <c r="E101" s="50">
        <v>3111</v>
      </c>
      <c r="F101" s="45" t="str">
        <f t="shared" si="15"/>
        <v>Plaće za redovan rad</v>
      </c>
      <c r="G101" s="82" t="s">
        <v>176</v>
      </c>
      <c r="H101" s="45" t="str">
        <f t="shared" si="16"/>
        <v>REDOVNA DJELATNOST SVEUČILIŠTA U OSIJEKU (IZ EVIDENCIJSKIH PRIHODA)</v>
      </c>
      <c r="I101" s="45" t="str">
        <f t="shared" si="17"/>
        <v>0942</v>
      </c>
      <c r="J101" s="81">
        <v>0</v>
      </c>
      <c r="K101" s="224"/>
      <c r="L101" s="224"/>
      <c r="M101" s="49"/>
      <c r="N101" s="246" t="str">
        <f>IF(C101="","",'OPĆI DIO'!$C$1)</f>
        <v>2452 SVEUČILIŠTE J. J. STROSSMAYERA U OSIJEKU</v>
      </c>
      <c r="O101" s="40" t="str">
        <f t="shared" si="18"/>
        <v>311</v>
      </c>
      <c r="P101" s="40" t="str">
        <f t="shared" si="19"/>
        <v>31</v>
      </c>
      <c r="Q101" s="40" t="str">
        <f t="shared" si="20"/>
        <v>52</v>
      </c>
      <c r="R101" s="40" t="str">
        <f t="shared" si="21"/>
        <v>94</v>
      </c>
      <c r="S101" s="40" t="str">
        <f t="shared" si="22"/>
        <v>3</v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>08006</v>
      </c>
      <c r="B102" s="44" t="str">
        <f>IF(C102="","",VLOOKUP('OPĆI DIO'!$C$1,'OPĆI DIO'!$N$4:$W$137,9,FALSE))</f>
        <v>Sveučilišta i veleučilišta u Republici Hrvatskoj</v>
      </c>
      <c r="C102" s="50">
        <v>52</v>
      </c>
      <c r="D102" s="45" t="str">
        <f t="shared" si="14"/>
        <v>Ostale pomoći</v>
      </c>
      <c r="E102" s="50">
        <v>3121</v>
      </c>
      <c r="F102" s="45" t="str">
        <f t="shared" si="15"/>
        <v>Ostali rashodi za zaposlene</v>
      </c>
      <c r="G102" s="82" t="s">
        <v>176</v>
      </c>
      <c r="H102" s="45" t="str">
        <f t="shared" si="16"/>
        <v>REDOVNA DJELATNOST SVEUČILIŠTA U OSIJEKU (IZ EVIDENCIJSKIH PRIHODA)</v>
      </c>
      <c r="I102" s="45" t="str">
        <f t="shared" si="17"/>
        <v>0942</v>
      </c>
      <c r="J102" s="81">
        <v>0</v>
      </c>
      <c r="K102" s="224"/>
      <c r="L102" s="224"/>
      <c r="M102" s="49"/>
      <c r="N102" s="246" t="str">
        <f>IF(C102="","",'OPĆI DIO'!$C$1)</f>
        <v>2452 SVEUČILIŠTE J. J. STROSSMAYERA U OSIJEKU</v>
      </c>
      <c r="O102" s="40" t="str">
        <f t="shared" si="18"/>
        <v>312</v>
      </c>
      <c r="P102" s="40" t="str">
        <f t="shared" si="19"/>
        <v>31</v>
      </c>
      <c r="Q102" s="40" t="str">
        <f t="shared" si="20"/>
        <v>52</v>
      </c>
      <c r="R102" s="40" t="str">
        <f t="shared" si="21"/>
        <v>94</v>
      </c>
      <c r="S102" s="40" t="str">
        <f t="shared" si="22"/>
        <v>3</v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>08006</v>
      </c>
      <c r="B103" s="44" t="str">
        <f>IF(C103="","",VLOOKUP('OPĆI DIO'!$C$1,'OPĆI DIO'!$N$4:$W$137,9,FALSE))</f>
        <v>Sveučilišta i veleučilišta u Republici Hrvatskoj</v>
      </c>
      <c r="C103" s="50">
        <v>52</v>
      </c>
      <c r="D103" s="45" t="str">
        <f t="shared" si="14"/>
        <v>Ostale pomoći</v>
      </c>
      <c r="E103" s="50">
        <v>3132</v>
      </c>
      <c r="F103" s="45" t="str">
        <f t="shared" si="15"/>
        <v>Doprinosi za obvezno zdravstveno osiguranje</v>
      </c>
      <c r="G103" s="82" t="s">
        <v>176</v>
      </c>
      <c r="H103" s="45" t="str">
        <f t="shared" si="16"/>
        <v>REDOVNA DJELATNOST SVEUČILIŠTA U OSIJEKU (IZ EVIDENCIJSKIH PRIHODA)</v>
      </c>
      <c r="I103" s="45" t="str">
        <f t="shared" si="17"/>
        <v>0942</v>
      </c>
      <c r="J103" s="81">
        <v>0</v>
      </c>
      <c r="K103" s="224"/>
      <c r="L103" s="224"/>
      <c r="M103" s="49"/>
      <c r="N103" s="246" t="str">
        <f>IF(C103="","",'OPĆI DIO'!$C$1)</f>
        <v>2452 SVEUČILIŠTE J. J. STROSSMAYERA U OSIJEKU</v>
      </c>
      <c r="O103" s="40" t="str">
        <f t="shared" si="18"/>
        <v>313</v>
      </c>
      <c r="P103" s="40" t="str">
        <f t="shared" si="19"/>
        <v>31</v>
      </c>
      <c r="Q103" s="40" t="str">
        <f t="shared" si="20"/>
        <v>52</v>
      </c>
      <c r="R103" s="40" t="str">
        <f t="shared" si="21"/>
        <v>94</v>
      </c>
      <c r="S103" s="40" t="str">
        <f t="shared" si="22"/>
        <v>3</v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>08006</v>
      </c>
      <c r="B104" s="44" t="str">
        <f>IF(C104="","",VLOOKUP('OPĆI DIO'!$C$1,'OPĆI DIO'!$N$4:$W$137,9,FALSE))</f>
        <v>Sveučilišta i veleučilišta u Republici Hrvatskoj</v>
      </c>
      <c r="C104" s="50">
        <v>52</v>
      </c>
      <c r="D104" s="45" t="str">
        <f t="shared" si="14"/>
        <v>Ostale pomoći</v>
      </c>
      <c r="E104" s="50">
        <v>3211</v>
      </c>
      <c r="F104" s="45" t="str">
        <f t="shared" si="15"/>
        <v>Službena putovanja</v>
      </c>
      <c r="G104" s="82" t="s">
        <v>176</v>
      </c>
      <c r="H104" s="45" t="str">
        <f t="shared" si="16"/>
        <v>REDOVNA DJELATNOST SVEUČILIŠTA U OSIJEKU (IZ EVIDENCIJSKIH PRIHODA)</v>
      </c>
      <c r="I104" s="45" t="str">
        <f t="shared" si="17"/>
        <v>0942</v>
      </c>
      <c r="J104" s="370">
        <v>1000</v>
      </c>
      <c r="K104" s="224">
        <v>1000</v>
      </c>
      <c r="L104" s="224">
        <v>1000</v>
      </c>
      <c r="M104" s="49"/>
      <c r="N104" s="246" t="str">
        <f>IF(C104="","",'OPĆI DIO'!$C$1)</f>
        <v>2452 SVEUČILIŠTE J. J. STROSSMAYERA U OSIJEKU</v>
      </c>
      <c r="O104" s="40" t="str">
        <f t="shared" si="18"/>
        <v>321</v>
      </c>
      <c r="P104" s="40" t="str">
        <f t="shared" si="19"/>
        <v>32</v>
      </c>
      <c r="Q104" s="40" t="str">
        <f t="shared" si="20"/>
        <v>52</v>
      </c>
      <c r="R104" s="40" t="str">
        <f t="shared" si="21"/>
        <v>94</v>
      </c>
      <c r="S104" s="40" t="str">
        <f t="shared" si="22"/>
        <v>3</v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>08006</v>
      </c>
      <c r="B105" s="44" t="str">
        <f>IF(C105="","",VLOOKUP('OPĆI DIO'!$C$1,'OPĆI DIO'!$N$4:$W$137,9,FALSE))</f>
        <v>Sveučilišta i veleučilišta u Republici Hrvatskoj</v>
      </c>
      <c r="C105" s="50">
        <v>52</v>
      </c>
      <c r="D105" s="45" t="str">
        <f t="shared" si="14"/>
        <v>Ostale pomoći</v>
      </c>
      <c r="E105" s="50">
        <v>3212</v>
      </c>
      <c r="F105" s="45" t="str">
        <f t="shared" si="15"/>
        <v>Naknade za prijevoz, za rad na terenu i odvojeni život</v>
      </c>
      <c r="G105" s="82" t="s">
        <v>176</v>
      </c>
      <c r="H105" s="45" t="str">
        <f t="shared" si="16"/>
        <v>REDOVNA DJELATNOST SVEUČILIŠTA U OSIJEKU (IZ EVIDENCIJSKIH PRIHODA)</v>
      </c>
      <c r="I105" s="45" t="str">
        <f t="shared" si="17"/>
        <v>0942</v>
      </c>
      <c r="J105" s="81">
        <v>0</v>
      </c>
      <c r="K105" s="81">
        <v>0</v>
      </c>
      <c r="L105" s="81">
        <v>0</v>
      </c>
      <c r="M105" s="49"/>
      <c r="N105" s="246" t="str">
        <f>IF(C105="","",'OPĆI DIO'!$C$1)</f>
        <v>2452 SVEUČILIŠTE J. J. STROSSMAYERA U OSIJEKU</v>
      </c>
      <c r="O105" s="40" t="str">
        <f t="shared" si="18"/>
        <v>321</v>
      </c>
      <c r="P105" s="40" t="str">
        <f t="shared" si="19"/>
        <v>32</v>
      </c>
      <c r="Q105" s="40" t="str">
        <f t="shared" si="20"/>
        <v>52</v>
      </c>
      <c r="R105" s="40" t="str">
        <f t="shared" si="21"/>
        <v>94</v>
      </c>
      <c r="S105" s="40" t="str">
        <f t="shared" si="22"/>
        <v>3</v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>
      <c r="A106" s="44" t="str">
        <f>IF(C106="","",VLOOKUP('OPĆI DIO'!$C$1,'OPĆI DIO'!$N$4:$W$137,10,FALSE))</f>
        <v>08006</v>
      </c>
      <c r="B106" s="44" t="str">
        <f>IF(C106="","",VLOOKUP('OPĆI DIO'!$C$1,'OPĆI DIO'!$N$4:$W$137,9,FALSE))</f>
        <v>Sveučilišta i veleučilišta u Republici Hrvatskoj</v>
      </c>
      <c r="C106" s="50">
        <v>52</v>
      </c>
      <c r="D106" s="45" t="str">
        <f t="shared" si="14"/>
        <v>Ostale pomoći</v>
      </c>
      <c r="E106" s="50">
        <v>3221</v>
      </c>
      <c r="F106" s="45" t="str">
        <f t="shared" si="15"/>
        <v>Uredski materijal i ostali materijalni rashodi</v>
      </c>
      <c r="G106" s="82" t="s">
        <v>176</v>
      </c>
      <c r="H106" s="45" t="str">
        <f t="shared" si="16"/>
        <v>REDOVNA DJELATNOST SVEUČILIŠTA U OSIJEKU (IZ EVIDENCIJSKIH PRIHODA)</v>
      </c>
      <c r="I106" s="45" t="str">
        <f t="shared" si="17"/>
        <v>0942</v>
      </c>
      <c r="J106" s="81">
        <v>0</v>
      </c>
      <c r="K106" s="81">
        <v>0</v>
      </c>
      <c r="L106" s="81">
        <v>0</v>
      </c>
      <c r="M106" s="49"/>
      <c r="N106" s="246" t="str">
        <f>IF(C106="","",'OPĆI DIO'!$C$1)</f>
        <v>2452 SVEUČILIŠTE J. J. STROSSMAYERA U OSIJEKU</v>
      </c>
      <c r="O106" s="40" t="str">
        <f t="shared" si="18"/>
        <v>322</v>
      </c>
      <c r="P106" s="40" t="str">
        <f t="shared" si="19"/>
        <v>32</v>
      </c>
      <c r="Q106" s="40" t="str">
        <f t="shared" si="20"/>
        <v>52</v>
      </c>
      <c r="R106" s="40" t="str">
        <f t="shared" si="21"/>
        <v>94</v>
      </c>
      <c r="S106" s="40" t="str">
        <f t="shared" si="22"/>
        <v>3</v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>08006</v>
      </c>
      <c r="B107" s="44" t="str">
        <f>IF(C107="","",VLOOKUP('OPĆI DIO'!$C$1,'OPĆI DIO'!$N$4:$W$137,9,FALSE))</f>
        <v>Sveučilišta i veleučilišta u Republici Hrvatskoj</v>
      </c>
      <c r="C107" s="50">
        <v>52</v>
      </c>
      <c r="D107" s="45" t="str">
        <f t="shared" si="14"/>
        <v>Ostale pomoći</v>
      </c>
      <c r="E107" s="50">
        <v>3239</v>
      </c>
      <c r="F107" s="45" t="str">
        <f t="shared" si="15"/>
        <v>Ostale usluge</v>
      </c>
      <c r="G107" s="82" t="s">
        <v>176</v>
      </c>
      <c r="H107" s="45" t="str">
        <f t="shared" si="16"/>
        <v>REDOVNA DJELATNOST SVEUČILIŠTA U OSIJEKU (IZ EVIDENCIJSKIH PRIHODA)</v>
      </c>
      <c r="I107" s="45" t="str">
        <f t="shared" si="17"/>
        <v>0942</v>
      </c>
      <c r="J107" s="81">
        <v>0</v>
      </c>
      <c r="K107" s="81">
        <v>0</v>
      </c>
      <c r="L107" s="81">
        <v>0</v>
      </c>
      <c r="M107" s="49"/>
      <c r="N107" s="246" t="str">
        <f>IF(C107="","",'OPĆI DIO'!$C$1)</f>
        <v>2452 SVEUČILIŠTE J. J. STROSSMAYERA U OSIJEKU</v>
      </c>
      <c r="O107" s="40" t="str">
        <f t="shared" si="18"/>
        <v>323</v>
      </c>
      <c r="P107" s="40" t="str">
        <f t="shared" si="19"/>
        <v>32</v>
      </c>
      <c r="Q107" s="40" t="str">
        <f t="shared" si="20"/>
        <v>52</v>
      </c>
      <c r="R107" s="40" t="str">
        <f t="shared" si="21"/>
        <v>94</v>
      </c>
      <c r="S107" s="40" t="str">
        <f t="shared" si="22"/>
        <v>3</v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>08006</v>
      </c>
      <c r="B108" s="44" t="str">
        <f>IF(C108="","",VLOOKUP('OPĆI DIO'!$C$1,'OPĆI DIO'!$N$4:$W$137,9,FALSE))</f>
        <v>Sveučilišta i veleučilišta u Republici Hrvatskoj</v>
      </c>
      <c r="C108" s="50">
        <v>52</v>
      </c>
      <c r="D108" s="45" t="str">
        <f t="shared" si="14"/>
        <v>Ostale pomoći</v>
      </c>
      <c r="E108" s="50">
        <v>3241</v>
      </c>
      <c r="F108" s="45" t="str">
        <f t="shared" si="15"/>
        <v>Naknade troškova osobama izvan radnog odnosa</v>
      </c>
      <c r="G108" s="82" t="s">
        <v>176</v>
      </c>
      <c r="H108" s="45" t="str">
        <f t="shared" si="16"/>
        <v>REDOVNA DJELATNOST SVEUČILIŠTA U OSIJEKU (IZ EVIDENCIJSKIH PRIHODA)</v>
      </c>
      <c r="I108" s="45" t="str">
        <f t="shared" si="17"/>
        <v>0942</v>
      </c>
      <c r="J108" s="81">
        <v>0</v>
      </c>
      <c r="K108" s="81">
        <v>0</v>
      </c>
      <c r="L108" s="81">
        <v>0</v>
      </c>
      <c r="M108" s="49"/>
      <c r="N108" s="246" t="str">
        <f>IF(C108="","",'OPĆI DIO'!$C$1)</f>
        <v>2452 SVEUČILIŠTE J. J. STROSSMAYERA U OSIJEKU</v>
      </c>
      <c r="O108" s="40" t="str">
        <f t="shared" si="18"/>
        <v>324</v>
      </c>
      <c r="P108" s="40" t="str">
        <f t="shared" si="19"/>
        <v>32</v>
      </c>
      <c r="Q108" s="40" t="str">
        <f t="shared" si="20"/>
        <v>52</v>
      </c>
      <c r="R108" s="40" t="str">
        <f t="shared" si="21"/>
        <v>94</v>
      </c>
      <c r="S108" s="40" t="str">
        <f t="shared" si="22"/>
        <v>3</v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>08006</v>
      </c>
      <c r="B109" s="44" t="str">
        <f>IF(C109="","",VLOOKUP('OPĆI DIO'!$C$1,'OPĆI DIO'!$N$4:$W$137,9,FALSE))</f>
        <v>Sveučilišta i veleučilišta u Republici Hrvatskoj</v>
      </c>
      <c r="C109" s="50">
        <v>52</v>
      </c>
      <c r="D109" s="45" t="str">
        <f t="shared" si="14"/>
        <v>Ostale pomoći</v>
      </c>
      <c r="E109" s="50">
        <v>3721</v>
      </c>
      <c r="F109" s="45" t="str">
        <f t="shared" si="15"/>
        <v>Naknade građanima i kućanstvima u novcu</v>
      </c>
      <c r="G109" s="82" t="s">
        <v>176</v>
      </c>
      <c r="H109" s="45" t="str">
        <f t="shared" si="16"/>
        <v>REDOVNA DJELATNOST SVEUČILIŠTA U OSIJEKU (IZ EVIDENCIJSKIH PRIHODA)</v>
      </c>
      <c r="I109" s="45" t="str">
        <f t="shared" si="17"/>
        <v>0942</v>
      </c>
      <c r="J109" s="81">
        <v>0</v>
      </c>
      <c r="K109" s="81">
        <v>0</v>
      </c>
      <c r="L109" s="81">
        <v>0</v>
      </c>
      <c r="M109" s="49"/>
      <c r="N109" s="246" t="str">
        <f>IF(C109="","",'OPĆI DIO'!$C$1)</f>
        <v>2452 SVEUČILIŠTE J. J. STROSSMAYERA U OSIJEKU</v>
      </c>
      <c r="O109" s="40" t="str">
        <f t="shared" si="18"/>
        <v>372</v>
      </c>
      <c r="P109" s="40" t="str">
        <f t="shared" si="19"/>
        <v>37</v>
      </c>
      <c r="Q109" s="40" t="str">
        <f t="shared" si="20"/>
        <v>52</v>
      </c>
      <c r="R109" s="40" t="str">
        <f t="shared" si="21"/>
        <v>94</v>
      </c>
      <c r="S109" s="40" t="str">
        <f t="shared" si="22"/>
        <v>3</v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>08006</v>
      </c>
      <c r="B110" s="44" t="str">
        <f>IF(C110="","",VLOOKUP('OPĆI DIO'!$C$1,'OPĆI DIO'!$N$4:$W$137,9,FALSE))</f>
        <v>Sveučilišta i veleučilišta u Republici Hrvatskoj</v>
      </c>
      <c r="C110" s="50">
        <v>52</v>
      </c>
      <c r="D110" s="45" t="str">
        <f t="shared" si="14"/>
        <v>Ostale pomoći</v>
      </c>
      <c r="E110" s="50">
        <v>3722</v>
      </c>
      <c r="F110" s="45" t="str">
        <f t="shared" si="15"/>
        <v>Naknade građanima i kućanstvima u naravi</v>
      </c>
      <c r="G110" s="82" t="s">
        <v>176</v>
      </c>
      <c r="H110" s="45" t="str">
        <f t="shared" si="16"/>
        <v>REDOVNA DJELATNOST SVEUČILIŠTA U OSIJEKU (IZ EVIDENCIJSKIH PRIHODA)</v>
      </c>
      <c r="I110" s="45" t="str">
        <f t="shared" si="17"/>
        <v>0942</v>
      </c>
      <c r="J110" s="371">
        <v>60000</v>
      </c>
      <c r="K110" s="224">
        <v>50000</v>
      </c>
      <c r="L110" s="224">
        <v>50000</v>
      </c>
      <c r="M110" s="49"/>
      <c r="N110" s="246" t="str">
        <f>IF(C110="","",'OPĆI DIO'!$C$1)</f>
        <v>2452 SVEUČILIŠTE J. J. STROSSMAYERA U OSIJEKU</v>
      </c>
      <c r="O110" s="40" t="str">
        <f t="shared" si="18"/>
        <v>372</v>
      </c>
      <c r="P110" s="40" t="str">
        <f t="shared" si="19"/>
        <v>37</v>
      </c>
      <c r="Q110" s="40" t="str">
        <f t="shared" si="20"/>
        <v>52</v>
      </c>
      <c r="R110" s="40" t="str">
        <f t="shared" si="21"/>
        <v>94</v>
      </c>
      <c r="S110" s="40" t="str">
        <f t="shared" si="22"/>
        <v>3</v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>08006</v>
      </c>
      <c r="B111" s="44" t="str">
        <f>IF(C111="","",VLOOKUP('OPĆI DIO'!$C$1,'OPĆI DIO'!$N$4:$W$137,9,FALSE))</f>
        <v>Sveučilišta i veleučilišta u Republici Hrvatskoj</v>
      </c>
      <c r="C111" s="50">
        <v>52</v>
      </c>
      <c r="D111" s="45" t="str">
        <f t="shared" si="14"/>
        <v>Ostale pomoći</v>
      </c>
      <c r="E111" s="50">
        <v>3237</v>
      </c>
      <c r="F111" s="45" t="str">
        <f t="shared" si="15"/>
        <v>Intelektualne i osobne usluge</v>
      </c>
      <c r="G111" s="82" t="s">
        <v>1430</v>
      </c>
      <c r="H111" s="45" t="str">
        <f t="shared" si="16"/>
        <v>PROGRAMI POBOLJŠANJA STUDENTSKOG STANDARDA</v>
      </c>
      <c r="I111" s="45" t="str">
        <f t="shared" si="17"/>
        <v>0960</v>
      </c>
      <c r="J111" s="81">
        <v>59000</v>
      </c>
      <c r="K111" s="81">
        <v>0</v>
      </c>
      <c r="L111" s="81">
        <v>0</v>
      </c>
      <c r="M111" s="49"/>
      <c r="N111" s="246" t="str">
        <f>IF(C111="","",'OPĆI DIO'!$C$1)</f>
        <v>2452 SVEUČILIŠTE J. J. STROSSMAYERA U OSIJEKU</v>
      </c>
      <c r="O111" s="40" t="str">
        <f t="shared" si="18"/>
        <v>323</v>
      </c>
      <c r="P111" s="40" t="str">
        <f t="shared" si="19"/>
        <v>32</v>
      </c>
      <c r="Q111" s="40" t="str">
        <f t="shared" si="20"/>
        <v>52</v>
      </c>
      <c r="R111" s="40" t="str">
        <f t="shared" si="21"/>
        <v>96</v>
      </c>
      <c r="S111" s="40" t="str">
        <f t="shared" si="22"/>
        <v>3</v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>08006</v>
      </c>
      <c r="B112" s="44" t="str">
        <f>IF(C112="","",VLOOKUP('OPĆI DIO'!$C$1,'OPĆI DIO'!$N$4:$W$137,9,FALSE))</f>
        <v>Sveučilišta i veleučilišta u Republici Hrvatskoj</v>
      </c>
      <c r="C112" s="50">
        <v>11</v>
      </c>
      <c r="D112" s="45" t="str">
        <f t="shared" si="14"/>
        <v>Opći prihodi i primici</v>
      </c>
      <c r="E112" s="50">
        <v>3111</v>
      </c>
      <c r="F112" s="45" t="str">
        <f t="shared" si="15"/>
        <v>Plaće za redovan rad</v>
      </c>
      <c r="G112" s="323" t="s">
        <v>60</v>
      </c>
      <c r="H112" s="45" t="str">
        <f t="shared" si="16"/>
        <v>REDOVNA DJELATNOST SVEUČILIŠTA U OSIJEKU</v>
      </c>
      <c r="I112" s="45" t="str">
        <f t="shared" si="17"/>
        <v>0942</v>
      </c>
      <c r="J112" s="224">
        <v>1008762</v>
      </c>
      <c r="K112" s="224">
        <v>1013705</v>
      </c>
      <c r="L112" s="224">
        <v>1018768</v>
      </c>
      <c r="M112" s="49"/>
      <c r="N112" s="246" t="str">
        <f>IF(C112="","",'OPĆI DIO'!$C$1)</f>
        <v>2452 SVEUČILIŠTE J. J. STROSSMAYERA U OSIJEKU</v>
      </c>
      <c r="O112" s="40" t="str">
        <f t="shared" si="18"/>
        <v>311</v>
      </c>
      <c r="P112" s="40" t="str">
        <f t="shared" si="19"/>
        <v>31</v>
      </c>
      <c r="Q112" s="40" t="str">
        <f t="shared" si="20"/>
        <v>11</v>
      </c>
      <c r="R112" s="40" t="str">
        <f t="shared" si="21"/>
        <v>94</v>
      </c>
      <c r="S112" s="40" t="str">
        <f t="shared" si="22"/>
        <v>3</v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>08006</v>
      </c>
      <c r="B113" s="44" t="str">
        <f>IF(C113="","",VLOOKUP('OPĆI DIO'!$C$1,'OPĆI DIO'!$N$4:$W$137,9,FALSE))</f>
        <v>Sveučilišta i veleučilišta u Republici Hrvatskoj</v>
      </c>
      <c r="C113" s="50">
        <v>11</v>
      </c>
      <c r="D113" s="45" t="str">
        <f t="shared" si="14"/>
        <v>Opći prihodi i primici</v>
      </c>
      <c r="E113" s="50">
        <v>3114</v>
      </c>
      <c r="F113" s="45" t="str">
        <f t="shared" si="15"/>
        <v>Plaće za posebne uvjete rada</v>
      </c>
      <c r="G113" s="323" t="s">
        <v>60</v>
      </c>
      <c r="H113" s="45" t="str">
        <f t="shared" si="16"/>
        <v>REDOVNA DJELATNOST SVEUČILIŠTA U OSIJEKU</v>
      </c>
      <c r="I113" s="45" t="str">
        <f t="shared" si="17"/>
        <v>0942</v>
      </c>
      <c r="J113" s="224">
        <v>1250</v>
      </c>
      <c r="K113" s="224">
        <v>1256</v>
      </c>
      <c r="L113" s="224">
        <v>1256</v>
      </c>
      <c r="M113" s="49"/>
      <c r="N113" s="246" t="str">
        <f>IF(C113="","",'OPĆI DIO'!$C$1)</f>
        <v>2452 SVEUČILIŠTE J. J. STROSSMAYERA U OSIJEKU</v>
      </c>
      <c r="O113" s="40" t="str">
        <f t="shared" si="18"/>
        <v>311</v>
      </c>
      <c r="P113" s="40" t="str">
        <f t="shared" si="19"/>
        <v>31</v>
      </c>
      <c r="Q113" s="40" t="str">
        <f t="shared" si="20"/>
        <v>11</v>
      </c>
      <c r="R113" s="40" t="str">
        <f t="shared" si="21"/>
        <v>94</v>
      </c>
      <c r="S113" s="40" t="str">
        <f t="shared" si="22"/>
        <v>3</v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>08006</v>
      </c>
      <c r="B114" s="44" t="str">
        <f>IF(C114="","",VLOOKUP('OPĆI DIO'!$C$1,'OPĆI DIO'!$N$4:$W$137,9,FALSE))</f>
        <v>Sveučilišta i veleučilišta u Republici Hrvatskoj</v>
      </c>
      <c r="C114" s="50">
        <v>11</v>
      </c>
      <c r="D114" s="45" t="str">
        <f t="shared" si="14"/>
        <v>Opći prihodi i primici</v>
      </c>
      <c r="E114" s="50">
        <v>3121</v>
      </c>
      <c r="F114" s="45" t="str">
        <f t="shared" si="15"/>
        <v>Ostali rashodi za zaposlene</v>
      </c>
      <c r="G114" s="323" t="s">
        <v>60</v>
      </c>
      <c r="H114" s="45" t="str">
        <f t="shared" si="16"/>
        <v>REDOVNA DJELATNOST SVEUČILIŠTA U OSIJEKU</v>
      </c>
      <c r="I114" s="45" t="str">
        <f t="shared" si="17"/>
        <v>0942</v>
      </c>
      <c r="J114" s="224">
        <v>31077</v>
      </c>
      <c r="K114" s="224">
        <v>31229</v>
      </c>
      <c r="L114" s="224">
        <v>31382</v>
      </c>
      <c r="M114" s="49"/>
      <c r="N114" s="246" t="str">
        <f>IF(C114="","",'OPĆI DIO'!$C$1)</f>
        <v>2452 SVEUČILIŠTE J. J. STROSSMAYERA U OSIJEKU</v>
      </c>
      <c r="O114" s="40" t="str">
        <f t="shared" si="18"/>
        <v>312</v>
      </c>
      <c r="P114" s="40" t="str">
        <f t="shared" si="19"/>
        <v>31</v>
      </c>
      <c r="Q114" s="40" t="str">
        <f t="shared" si="20"/>
        <v>11</v>
      </c>
      <c r="R114" s="40" t="str">
        <f t="shared" si="21"/>
        <v>94</v>
      </c>
      <c r="S114" s="40" t="str">
        <f t="shared" si="22"/>
        <v>3</v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>08006</v>
      </c>
      <c r="B115" s="44" t="str">
        <f>IF(C115="","",VLOOKUP('OPĆI DIO'!$C$1,'OPĆI DIO'!$N$4:$W$137,9,FALSE))</f>
        <v>Sveučilišta i veleučilišta u Republici Hrvatskoj</v>
      </c>
      <c r="C115" s="50">
        <v>11</v>
      </c>
      <c r="D115" s="45" t="str">
        <f t="shared" si="14"/>
        <v>Opći prihodi i primici</v>
      </c>
      <c r="E115" s="50">
        <v>3132</v>
      </c>
      <c r="F115" s="45" t="str">
        <f t="shared" si="15"/>
        <v>Doprinosi za obvezno zdravstveno osiguranje</v>
      </c>
      <c r="G115" s="323" t="s">
        <v>60</v>
      </c>
      <c r="H115" s="45" t="str">
        <f t="shared" si="16"/>
        <v>REDOVNA DJELATNOST SVEUČILIŠTA U OSIJEKU</v>
      </c>
      <c r="I115" s="45" t="str">
        <f t="shared" si="17"/>
        <v>0942</v>
      </c>
      <c r="J115" s="224">
        <v>173519</v>
      </c>
      <c r="K115" s="224">
        <v>174366</v>
      </c>
      <c r="L115" s="224">
        <v>175223</v>
      </c>
      <c r="M115" s="49"/>
      <c r="N115" s="246" t="str">
        <f>IF(C115="","",'OPĆI DIO'!$C$1)</f>
        <v>2452 SVEUČILIŠTE J. J. STROSSMAYERA U OSIJEKU</v>
      </c>
      <c r="O115" s="40" t="str">
        <f t="shared" si="18"/>
        <v>313</v>
      </c>
      <c r="P115" s="40" t="str">
        <f t="shared" si="19"/>
        <v>31</v>
      </c>
      <c r="Q115" s="40" t="str">
        <f t="shared" si="20"/>
        <v>11</v>
      </c>
      <c r="R115" s="40" t="str">
        <f t="shared" si="21"/>
        <v>94</v>
      </c>
      <c r="S115" s="40" t="str">
        <f t="shared" si="22"/>
        <v>3</v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>08006</v>
      </c>
      <c r="B116" s="44" t="str">
        <f>IF(C116="","",VLOOKUP('OPĆI DIO'!$C$1,'OPĆI DIO'!$N$4:$W$137,9,FALSE))</f>
        <v>Sveučilišta i veleučilišta u Republici Hrvatskoj</v>
      </c>
      <c r="C116" s="50">
        <v>11</v>
      </c>
      <c r="D116" s="45" t="str">
        <f t="shared" si="14"/>
        <v>Opći prihodi i primici</v>
      </c>
      <c r="E116" s="50">
        <v>3212</v>
      </c>
      <c r="F116" s="45" t="str">
        <f t="shared" si="15"/>
        <v>Naknade za prijevoz, za rad na terenu i odvojeni život</v>
      </c>
      <c r="G116" s="323" t="s">
        <v>60</v>
      </c>
      <c r="H116" s="45" t="str">
        <f t="shared" si="16"/>
        <v>REDOVNA DJELATNOST SVEUČILIŠTA U OSIJEKU</v>
      </c>
      <c r="I116" s="45" t="str">
        <f t="shared" si="17"/>
        <v>0942</v>
      </c>
      <c r="J116" s="224">
        <v>14876</v>
      </c>
      <c r="K116" s="224">
        <v>14949</v>
      </c>
      <c r="L116" s="224">
        <v>15022</v>
      </c>
      <c r="M116" s="49"/>
      <c r="N116" s="246" t="str">
        <f>IF(C116="","",'OPĆI DIO'!$C$1)</f>
        <v>2452 SVEUČILIŠTE J. J. STROSSMAYERA U OSIJEKU</v>
      </c>
      <c r="O116" s="40" t="str">
        <f t="shared" si="18"/>
        <v>321</v>
      </c>
      <c r="P116" s="40" t="str">
        <f t="shared" si="19"/>
        <v>32</v>
      </c>
      <c r="Q116" s="40" t="str">
        <f t="shared" si="20"/>
        <v>11</v>
      </c>
      <c r="R116" s="40" t="str">
        <f t="shared" si="21"/>
        <v>94</v>
      </c>
      <c r="S116" s="40" t="str">
        <f t="shared" si="22"/>
        <v>3</v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>08006</v>
      </c>
      <c r="B117" s="44" t="str">
        <f>IF(C117="","",VLOOKUP('OPĆI DIO'!$C$1,'OPĆI DIO'!$N$4:$W$137,9,FALSE))</f>
        <v>Sveučilišta i veleučilišta u Republici Hrvatskoj</v>
      </c>
      <c r="C117" s="50">
        <v>11</v>
      </c>
      <c r="D117" s="45" t="str">
        <f t="shared" si="14"/>
        <v>Opći prihodi i primici</v>
      </c>
      <c r="E117" s="50">
        <v>3236</v>
      </c>
      <c r="F117" s="45" t="str">
        <f t="shared" si="15"/>
        <v>Zdravstvene i veterinarske usluge</v>
      </c>
      <c r="G117" s="323" t="s">
        <v>60</v>
      </c>
      <c r="H117" s="45" t="str">
        <f t="shared" si="16"/>
        <v>REDOVNA DJELATNOST SVEUČILIŠTA U OSIJEKU</v>
      </c>
      <c r="I117" s="45" t="str">
        <f t="shared" si="17"/>
        <v>0942</v>
      </c>
      <c r="J117" s="224">
        <v>3002</v>
      </c>
      <c r="K117" s="224">
        <v>3017</v>
      </c>
      <c r="L117" s="224">
        <v>3032</v>
      </c>
      <c r="M117" s="49"/>
      <c r="N117" s="246" t="str">
        <f>IF(C117="","",'OPĆI DIO'!$C$1)</f>
        <v>2452 SVEUČILIŠTE J. J. STROSSMAYERA U OSIJEKU</v>
      </c>
      <c r="O117" s="40" t="str">
        <f t="shared" si="18"/>
        <v>323</v>
      </c>
      <c r="P117" s="40" t="str">
        <f t="shared" si="19"/>
        <v>32</v>
      </c>
      <c r="Q117" s="40" t="str">
        <f t="shared" si="20"/>
        <v>11</v>
      </c>
      <c r="R117" s="40" t="str">
        <f t="shared" si="21"/>
        <v>94</v>
      </c>
      <c r="S117" s="40" t="str">
        <f t="shared" si="22"/>
        <v>3</v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>08006</v>
      </c>
      <c r="B118" s="44" t="str">
        <f>IF(C118="","",VLOOKUP('OPĆI DIO'!$C$1,'OPĆI DIO'!$N$4:$W$137,9,FALSE))</f>
        <v>Sveučilišta i veleučilišta u Republici Hrvatskoj</v>
      </c>
      <c r="C118" s="50">
        <v>11</v>
      </c>
      <c r="D118" s="45" t="str">
        <f t="shared" si="14"/>
        <v>Opći prihodi i primici</v>
      </c>
      <c r="E118" s="50">
        <v>3237</v>
      </c>
      <c r="F118" s="45" t="str">
        <f t="shared" si="15"/>
        <v>Intelektualne i osobne usluge</v>
      </c>
      <c r="G118" s="323" t="s">
        <v>667</v>
      </c>
      <c r="H118" s="45" t="str">
        <f t="shared" si="16"/>
        <v>PROGRAMI VJEŽBAONICA VISOKIH UČILIŠTA</v>
      </c>
      <c r="I118" s="45" t="str">
        <f t="shared" si="17"/>
        <v>0942</v>
      </c>
      <c r="J118" s="224">
        <v>391</v>
      </c>
      <c r="K118" s="224">
        <v>391</v>
      </c>
      <c r="L118" s="224">
        <v>391</v>
      </c>
      <c r="M118" s="49"/>
      <c r="N118" s="246" t="str">
        <f>IF(C118="","",'OPĆI DIO'!$C$1)</f>
        <v>2452 SVEUČILIŠTE J. J. STROSSMAYERA U OSIJEKU</v>
      </c>
      <c r="O118" s="40" t="str">
        <f t="shared" si="18"/>
        <v>323</v>
      </c>
      <c r="P118" s="40" t="str">
        <f t="shared" si="19"/>
        <v>32</v>
      </c>
      <c r="Q118" s="40" t="str">
        <f t="shared" si="20"/>
        <v>11</v>
      </c>
      <c r="R118" s="40" t="str">
        <f t="shared" si="21"/>
        <v>94</v>
      </c>
      <c r="S118" s="40" t="str">
        <f t="shared" si="22"/>
        <v>3</v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>08006</v>
      </c>
      <c r="B119" s="44" t="str">
        <f>IF(C119="","",VLOOKUP('OPĆI DIO'!$C$1,'OPĆI DIO'!$N$4:$W$137,9,FALSE))</f>
        <v>Sveučilišta i veleučilišta u Republici Hrvatskoj</v>
      </c>
      <c r="C119" s="50">
        <v>11</v>
      </c>
      <c r="D119" s="45" t="str">
        <f t="shared" si="14"/>
        <v>Opći prihodi i primici</v>
      </c>
      <c r="E119" s="50">
        <v>3211</v>
      </c>
      <c r="F119" s="45" t="str">
        <f t="shared" si="15"/>
        <v>Službena putovanja</v>
      </c>
      <c r="G119" s="323" t="s">
        <v>665</v>
      </c>
      <c r="H119" s="45" t="str">
        <f t="shared" si="16"/>
        <v>PROGRAMSKO FINANCIRANJE JAVNIH VISOKIH UČILIŠTA</v>
      </c>
      <c r="I119" s="45" t="str">
        <f t="shared" si="17"/>
        <v>0942</v>
      </c>
      <c r="J119" s="224">
        <v>6450</v>
      </c>
      <c r="K119" s="224">
        <v>6450</v>
      </c>
      <c r="L119" s="224">
        <v>6450</v>
      </c>
      <c r="M119" s="49"/>
      <c r="N119" s="246" t="str">
        <f>IF(C119="","",'OPĆI DIO'!$C$1)</f>
        <v>2452 SVEUČILIŠTE J. J. STROSSMAYERA U OSIJEKU</v>
      </c>
      <c r="O119" s="40" t="str">
        <f t="shared" si="18"/>
        <v>321</v>
      </c>
      <c r="P119" s="40" t="str">
        <f t="shared" si="19"/>
        <v>32</v>
      </c>
      <c r="Q119" s="40" t="str">
        <f t="shared" si="20"/>
        <v>11</v>
      </c>
      <c r="R119" s="40" t="str">
        <f t="shared" si="21"/>
        <v>94</v>
      </c>
      <c r="S119" s="40" t="str">
        <f t="shared" si="22"/>
        <v>3</v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>08006</v>
      </c>
      <c r="B120" s="44" t="str">
        <f>IF(C120="","",VLOOKUP('OPĆI DIO'!$C$1,'OPĆI DIO'!$N$4:$W$137,9,FALSE))</f>
        <v>Sveučilišta i veleučilišta u Republici Hrvatskoj</v>
      </c>
      <c r="C120" s="50">
        <v>11</v>
      </c>
      <c r="D120" s="45" t="str">
        <f t="shared" si="14"/>
        <v>Opći prihodi i primici</v>
      </c>
      <c r="E120" s="50">
        <v>3213</v>
      </c>
      <c r="F120" s="45" t="str">
        <f t="shared" si="15"/>
        <v>Stručno usavršavanje zaposlenika</v>
      </c>
      <c r="G120" s="323" t="s">
        <v>665</v>
      </c>
      <c r="H120" s="45" t="str">
        <f t="shared" si="16"/>
        <v>PROGRAMSKO FINANCIRANJE JAVNIH VISOKIH UČILIŠTA</v>
      </c>
      <c r="I120" s="45" t="str">
        <f t="shared" si="17"/>
        <v>0942</v>
      </c>
      <c r="J120" s="224">
        <v>1400</v>
      </c>
      <c r="K120" s="224">
        <v>1400</v>
      </c>
      <c r="L120" s="224">
        <v>1400</v>
      </c>
      <c r="M120" s="49"/>
      <c r="N120" s="246" t="str">
        <f>IF(C120="","",'OPĆI DIO'!$C$1)</f>
        <v>2452 SVEUČILIŠTE J. J. STROSSMAYERA U OSIJEKU</v>
      </c>
      <c r="O120" s="40" t="str">
        <f t="shared" si="18"/>
        <v>321</v>
      </c>
      <c r="P120" s="40" t="str">
        <f t="shared" si="19"/>
        <v>32</v>
      </c>
      <c r="Q120" s="40" t="str">
        <f t="shared" si="20"/>
        <v>11</v>
      </c>
      <c r="R120" s="40" t="str">
        <f t="shared" si="21"/>
        <v>94</v>
      </c>
      <c r="S120" s="40" t="str">
        <f t="shared" si="22"/>
        <v>3</v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>08006</v>
      </c>
      <c r="B121" s="44" t="str">
        <f>IF(C121="","",VLOOKUP('OPĆI DIO'!$C$1,'OPĆI DIO'!$N$4:$W$137,9,FALSE))</f>
        <v>Sveučilišta i veleučilišta u Republici Hrvatskoj</v>
      </c>
      <c r="C121" s="50">
        <v>11</v>
      </c>
      <c r="D121" s="45" t="str">
        <f t="shared" si="14"/>
        <v>Opći prihodi i primici</v>
      </c>
      <c r="E121" s="50">
        <v>3221</v>
      </c>
      <c r="F121" s="45" t="str">
        <f t="shared" si="15"/>
        <v>Uredski materijal i ostali materijalni rashodi</v>
      </c>
      <c r="G121" s="323" t="s">
        <v>665</v>
      </c>
      <c r="H121" s="45" t="str">
        <f t="shared" si="16"/>
        <v>PROGRAMSKO FINANCIRANJE JAVNIH VISOKIH UČILIŠTA</v>
      </c>
      <c r="I121" s="45" t="str">
        <f t="shared" si="17"/>
        <v>0942</v>
      </c>
      <c r="J121" s="224">
        <v>13000</v>
      </c>
      <c r="K121" s="224">
        <v>13000</v>
      </c>
      <c r="L121" s="224">
        <v>13000</v>
      </c>
      <c r="M121" s="49"/>
      <c r="N121" s="246" t="str">
        <f>IF(C121="","",'OPĆI DIO'!$C$1)</f>
        <v>2452 SVEUČILIŠTE J. J. STROSSMAYERA U OSIJEKU</v>
      </c>
      <c r="O121" s="40" t="str">
        <f t="shared" si="18"/>
        <v>322</v>
      </c>
      <c r="P121" s="40" t="str">
        <f t="shared" si="19"/>
        <v>32</v>
      </c>
      <c r="Q121" s="40" t="str">
        <f t="shared" si="20"/>
        <v>11</v>
      </c>
      <c r="R121" s="40" t="str">
        <f t="shared" si="21"/>
        <v>94</v>
      </c>
      <c r="S121" s="40" t="str">
        <f t="shared" si="22"/>
        <v>3</v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>08006</v>
      </c>
      <c r="B122" s="44" t="str">
        <f>IF(C122="","",VLOOKUP('OPĆI DIO'!$C$1,'OPĆI DIO'!$N$4:$W$137,9,FALSE))</f>
        <v>Sveučilišta i veleučilišta u Republici Hrvatskoj</v>
      </c>
      <c r="C122" s="50">
        <v>11</v>
      </c>
      <c r="D122" s="45" t="str">
        <f t="shared" si="14"/>
        <v>Opći prihodi i primici</v>
      </c>
      <c r="E122" s="50">
        <v>3223</v>
      </c>
      <c r="F122" s="45" t="str">
        <f t="shared" si="15"/>
        <v>Energija</v>
      </c>
      <c r="G122" s="323" t="s">
        <v>665</v>
      </c>
      <c r="H122" s="45" t="str">
        <f t="shared" si="16"/>
        <v>PROGRAMSKO FINANCIRANJE JAVNIH VISOKIH UČILIŠTA</v>
      </c>
      <c r="I122" s="45" t="str">
        <f t="shared" si="17"/>
        <v>0942</v>
      </c>
      <c r="J122" s="224">
        <v>17520</v>
      </c>
      <c r="K122" s="224">
        <v>17520</v>
      </c>
      <c r="L122" s="224">
        <v>17520</v>
      </c>
      <c r="M122" s="49"/>
      <c r="N122" s="246" t="str">
        <f>IF(C122="","",'OPĆI DIO'!$C$1)</f>
        <v>2452 SVEUČILIŠTE J. J. STROSSMAYERA U OSIJEKU</v>
      </c>
      <c r="O122" s="40" t="str">
        <f t="shared" si="18"/>
        <v>322</v>
      </c>
      <c r="P122" s="40" t="str">
        <f t="shared" si="19"/>
        <v>32</v>
      </c>
      <c r="Q122" s="40" t="str">
        <f t="shared" si="20"/>
        <v>11</v>
      </c>
      <c r="R122" s="40" t="str">
        <f t="shared" si="21"/>
        <v>94</v>
      </c>
      <c r="S122" s="40" t="str">
        <f t="shared" si="22"/>
        <v>3</v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>08006</v>
      </c>
      <c r="B123" s="44" t="str">
        <f>IF(C123="","",VLOOKUP('OPĆI DIO'!$C$1,'OPĆI DIO'!$N$4:$W$137,9,FALSE))</f>
        <v>Sveučilišta i veleučilišta u Republici Hrvatskoj</v>
      </c>
      <c r="C123" s="50">
        <v>11</v>
      </c>
      <c r="D123" s="45" t="str">
        <f t="shared" si="14"/>
        <v>Opći prihodi i primici</v>
      </c>
      <c r="E123" s="50">
        <v>3224</v>
      </c>
      <c r="F123" s="45" t="str">
        <f t="shared" si="15"/>
        <v>Materijal i dijelovi za tekuće i investicijsko održavanje</v>
      </c>
      <c r="G123" s="323" t="s">
        <v>665</v>
      </c>
      <c r="H123" s="45" t="str">
        <f t="shared" si="16"/>
        <v>PROGRAMSKO FINANCIRANJE JAVNIH VISOKIH UČILIŠTA</v>
      </c>
      <c r="I123" s="45" t="str">
        <f t="shared" si="17"/>
        <v>0942</v>
      </c>
      <c r="J123" s="224">
        <v>900</v>
      </c>
      <c r="K123" s="224">
        <v>900</v>
      </c>
      <c r="L123" s="224">
        <v>900</v>
      </c>
      <c r="M123" s="49"/>
      <c r="N123" s="246" t="str">
        <f>IF(C123="","",'OPĆI DIO'!$C$1)</f>
        <v>2452 SVEUČILIŠTE J. J. STROSSMAYERA U OSIJEKU</v>
      </c>
      <c r="O123" s="40" t="str">
        <f t="shared" si="18"/>
        <v>322</v>
      </c>
      <c r="P123" s="40" t="str">
        <f t="shared" si="19"/>
        <v>32</v>
      </c>
      <c r="Q123" s="40" t="str">
        <f t="shared" si="20"/>
        <v>11</v>
      </c>
      <c r="R123" s="40" t="str">
        <f t="shared" si="21"/>
        <v>94</v>
      </c>
      <c r="S123" s="40" t="str">
        <f t="shared" si="22"/>
        <v>3</v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>08006</v>
      </c>
      <c r="B124" s="44" t="str">
        <f>IF(C124="","",VLOOKUP('OPĆI DIO'!$C$1,'OPĆI DIO'!$N$4:$W$137,9,FALSE))</f>
        <v>Sveučilišta i veleučilišta u Republici Hrvatskoj</v>
      </c>
      <c r="C124" s="50">
        <v>11</v>
      </c>
      <c r="D124" s="45" t="str">
        <f t="shared" si="14"/>
        <v>Opći prihodi i primici</v>
      </c>
      <c r="E124" s="50">
        <v>3225</v>
      </c>
      <c r="F124" s="45" t="str">
        <f t="shared" si="15"/>
        <v>Sitni inventar i auto gume</v>
      </c>
      <c r="G124" s="323" t="s">
        <v>665</v>
      </c>
      <c r="H124" s="45" t="str">
        <f t="shared" si="16"/>
        <v>PROGRAMSKO FINANCIRANJE JAVNIH VISOKIH UČILIŠTA</v>
      </c>
      <c r="I124" s="45" t="str">
        <f t="shared" si="17"/>
        <v>0942</v>
      </c>
      <c r="J124" s="224">
        <v>1500</v>
      </c>
      <c r="K124" s="224">
        <v>1500</v>
      </c>
      <c r="L124" s="224">
        <v>1500</v>
      </c>
      <c r="M124" s="49"/>
      <c r="N124" s="246" t="str">
        <f>IF(C124="","",'OPĆI DIO'!$C$1)</f>
        <v>2452 SVEUČILIŠTE J. J. STROSSMAYERA U OSIJEKU</v>
      </c>
      <c r="O124" s="40" t="str">
        <f t="shared" si="18"/>
        <v>322</v>
      </c>
      <c r="P124" s="40" t="str">
        <f t="shared" si="19"/>
        <v>32</v>
      </c>
      <c r="Q124" s="40" t="str">
        <f t="shared" si="20"/>
        <v>11</v>
      </c>
      <c r="R124" s="40" t="str">
        <f t="shared" si="21"/>
        <v>94</v>
      </c>
      <c r="S124" s="40" t="str">
        <f t="shared" si="22"/>
        <v>3</v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>08006</v>
      </c>
      <c r="B125" s="44" t="str">
        <f>IF(C125="","",VLOOKUP('OPĆI DIO'!$C$1,'OPĆI DIO'!$N$4:$W$137,9,FALSE))</f>
        <v>Sveučilišta i veleučilišta u Republici Hrvatskoj</v>
      </c>
      <c r="C125" s="50">
        <v>11</v>
      </c>
      <c r="D125" s="45" t="str">
        <f t="shared" si="14"/>
        <v>Opći prihodi i primici</v>
      </c>
      <c r="E125" s="50">
        <v>3227</v>
      </c>
      <c r="F125" s="45" t="str">
        <f t="shared" si="15"/>
        <v>Službena, radna i zaštitna odjeća i obuća</v>
      </c>
      <c r="G125" s="323" t="s">
        <v>665</v>
      </c>
      <c r="H125" s="45" t="str">
        <f t="shared" si="16"/>
        <v>PROGRAMSKO FINANCIRANJE JAVNIH VISOKIH UČILIŠTA</v>
      </c>
      <c r="I125" s="45" t="str">
        <f t="shared" si="17"/>
        <v>0942</v>
      </c>
      <c r="J125" s="224">
        <v>315</v>
      </c>
      <c r="K125" s="224">
        <v>315</v>
      </c>
      <c r="L125" s="224">
        <v>315</v>
      </c>
      <c r="M125" s="49"/>
      <c r="N125" s="246" t="str">
        <f>IF(C125="","",'OPĆI DIO'!$C$1)</f>
        <v>2452 SVEUČILIŠTE J. J. STROSSMAYERA U OSIJEKU</v>
      </c>
      <c r="O125" s="40" t="str">
        <f t="shared" si="18"/>
        <v>322</v>
      </c>
      <c r="P125" s="40" t="str">
        <f t="shared" si="19"/>
        <v>32</v>
      </c>
      <c r="Q125" s="40" t="str">
        <f t="shared" si="20"/>
        <v>11</v>
      </c>
      <c r="R125" s="40" t="str">
        <f t="shared" si="21"/>
        <v>94</v>
      </c>
      <c r="S125" s="40" t="str">
        <f t="shared" si="22"/>
        <v>3</v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>08006</v>
      </c>
      <c r="B126" s="44" t="str">
        <f>IF(C126="","",VLOOKUP('OPĆI DIO'!$C$1,'OPĆI DIO'!$N$4:$W$137,9,FALSE))</f>
        <v>Sveučilišta i veleučilišta u Republici Hrvatskoj</v>
      </c>
      <c r="C126" s="50">
        <v>11</v>
      </c>
      <c r="D126" s="45" t="str">
        <f t="shared" si="14"/>
        <v>Opći prihodi i primici</v>
      </c>
      <c r="E126" s="50">
        <v>3231</v>
      </c>
      <c r="F126" s="45" t="str">
        <f t="shared" si="15"/>
        <v>Usluge telefona, pošte i prijevoza</v>
      </c>
      <c r="G126" s="323" t="s">
        <v>665</v>
      </c>
      <c r="H126" s="45" t="str">
        <f t="shared" si="16"/>
        <v>PROGRAMSKO FINANCIRANJE JAVNIH VISOKIH UČILIŠTA</v>
      </c>
      <c r="I126" s="45" t="str">
        <f t="shared" si="17"/>
        <v>0942</v>
      </c>
      <c r="J126" s="224">
        <v>3500</v>
      </c>
      <c r="K126" s="224">
        <v>3500</v>
      </c>
      <c r="L126" s="224">
        <v>3500</v>
      </c>
      <c r="M126" s="49"/>
      <c r="N126" s="246" t="str">
        <f>IF(C126="","",'OPĆI DIO'!$C$1)</f>
        <v>2452 SVEUČILIŠTE J. J. STROSSMAYERA U OSIJEKU</v>
      </c>
      <c r="O126" s="40" t="str">
        <f t="shared" si="18"/>
        <v>323</v>
      </c>
      <c r="P126" s="40" t="str">
        <f t="shared" si="19"/>
        <v>32</v>
      </c>
      <c r="Q126" s="40" t="str">
        <f t="shared" si="20"/>
        <v>11</v>
      </c>
      <c r="R126" s="40" t="str">
        <f t="shared" si="21"/>
        <v>94</v>
      </c>
      <c r="S126" s="40" t="str">
        <f t="shared" si="22"/>
        <v>3</v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>08006</v>
      </c>
      <c r="B127" s="44" t="str">
        <f>IF(C127="","",VLOOKUP('OPĆI DIO'!$C$1,'OPĆI DIO'!$N$4:$W$137,9,FALSE))</f>
        <v>Sveučilišta i veleučilišta u Republici Hrvatskoj</v>
      </c>
      <c r="C127" s="50">
        <v>11</v>
      </c>
      <c r="D127" s="45" t="str">
        <f t="shared" si="14"/>
        <v>Opći prihodi i primici</v>
      </c>
      <c r="E127" s="50">
        <v>3232</v>
      </c>
      <c r="F127" s="45" t="str">
        <f t="shared" si="15"/>
        <v>Usluge tekućeg i investicijskog održavanja</v>
      </c>
      <c r="G127" s="323" t="s">
        <v>665</v>
      </c>
      <c r="H127" s="45" t="str">
        <f t="shared" si="16"/>
        <v>PROGRAMSKO FINANCIRANJE JAVNIH VISOKIH UČILIŠTA</v>
      </c>
      <c r="I127" s="45" t="str">
        <f t="shared" si="17"/>
        <v>0942</v>
      </c>
      <c r="J127" s="224">
        <v>4000</v>
      </c>
      <c r="K127" s="224">
        <v>4000</v>
      </c>
      <c r="L127" s="224">
        <v>4000</v>
      </c>
      <c r="M127" s="49"/>
      <c r="N127" s="246" t="str">
        <f>IF(C127="","",'OPĆI DIO'!$C$1)</f>
        <v>2452 SVEUČILIŠTE J. J. STROSSMAYERA U OSIJEKU</v>
      </c>
      <c r="O127" s="40" t="str">
        <f t="shared" si="18"/>
        <v>323</v>
      </c>
      <c r="P127" s="40" t="str">
        <f t="shared" si="19"/>
        <v>32</v>
      </c>
      <c r="Q127" s="40" t="str">
        <f t="shared" si="20"/>
        <v>11</v>
      </c>
      <c r="R127" s="40" t="str">
        <f t="shared" si="21"/>
        <v>94</v>
      </c>
      <c r="S127" s="40" t="str">
        <f t="shared" si="22"/>
        <v>3</v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>08006</v>
      </c>
      <c r="B128" s="44" t="str">
        <f>IF(C128="","",VLOOKUP('OPĆI DIO'!$C$1,'OPĆI DIO'!$N$4:$W$137,9,FALSE))</f>
        <v>Sveučilišta i veleučilišta u Republici Hrvatskoj</v>
      </c>
      <c r="C128" s="50">
        <v>11</v>
      </c>
      <c r="D128" s="45" t="str">
        <f t="shared" si="14"/>
        <v>Opći prihodi i primici</v>
      </c>
      <c r="E128" s="50">
        <v>3234</v>
      </c>
      <c r="F128" s="45" t="str">
        <f t="shared" si="15"/>
        <v>Komunalne usluge</v>
      </c>
      <c r="G128" s="323" t="s">
        <v>665</v>
      </c>
      <c r="H128" s="45" t="str">
        <f t="shared" si="16"/>
        <v>PROGRAMSKO FINANCIRANJE JAVNIH VISOKIH UČILIŠTA</v>
      </c>
      <c r="I128" s="45" t="str">
        <f t="shared" si="17"/>
        <v>0942</v>
      </c>
      <c r="J128" s="224">
        <v>4670</v>
      </c>
      <c r="K128" s="224">
        <v>4670</v>
      </c>
      <c r="L128" s="224">
        <v>4670</v>
      </c>
      <c r="M128" s="49"/>
      <c r="N128" s="246" t="str">
        <f>IF(C128="","",'OPĆI DIO'!$C$1)</f>
        <v>2452 SVEUČILIŠTE J. J. STROSSMAYERA U OSIJEKU</v>
      </c>
      <c r="O128" s="40" t="str">
        <f t="shared" si="18"/>
        <v>323</v>
      </c>
      <c r="P128" s="40" t="str">
        <f t="shared" si="19"/>
        <v>32</v>
      </c>
      <c r="Q128" s="40" t="str">
        <f t="shared" si="20"/>
        <v>11</v>
      </c>
      <c r="R128" s="40" t="str">
        <f t="shared" si="21"/>
        <v>94</v>
      </c>
      <c r="S128" s="40" t="str">
        <f t="shared" si="22"/>
        <v>3</v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>08006</v>
      </c>
      <c r="B129" s="44" t="str">
        <f>IF(C129="","",VLOOKUP('OPĆI DIO'!$C$1,'OPĆI DIO'!$N$4:$W$137,9,FALSE))</f>
        <v>Sveučilišta i veleučilišta u Republici Hrvatskoj</v>
      </c>
      <c r="C129" s="50">
        <v>11</v>
      </c>
      <c r="D129" s="45" t="str">
        <f t="shared" si="14"/>
        <v>Opći prihodi i primici</v>
      </c>
      <c r="E129" s="50">
        <v>3235</v>
      </c>
      <c r="F129" s="45" t="str">
        <f t="shared" si="15"/>
        <v>Zakupnine i najamnine</v>
      </c>
      <c r="G129" s="323" t="s">
        <v>665</v>
      </c>
      <c r="H129" s="45" t="str">
        <f t="shared" si="16"/>
        <v>PROGRAMSKO FINANCIRANJE JAVNIH VISOKIH UČILIŠTA</v>
      </c>
      <c r="I129" s="45" t="str">
        <f t="shared" si="17"/>
        <v>0942</v>
      </c>
      <c r="J129" s="224">
        <v>6300</v>
      </c>
      <c r="K129" s="224">
        <v>6300</v>
      </c>
      <c r="L129" s="224">
        <v>6300</v>
      </c>
      <c r="M129" s="49"/>
      <c r="N129" s="246" t="str">
        <f>IF(C129="","",'OPĆI DIO'!$C$1)</f>
        <v>2452 SVEUČILIŠTE J. J. STROSSMAYERA U OSIJEKU</v>
      </c>
      <c r="O129" s="40" t="str">
        <f t="shared" si="18"/>
        <v>323</v>
      </c>
      <c r="P129" s="40" t="str">
        <f t="shared" si="19"/>
        <v>32</v>
      </c>
      <c r="Q129" s="40" t="str">
        <f t="shared" si="20"/>
        <v>11</v>
      </c>
      <c r="R129" s="40" t="str">
        <f t="shared" si="21"/>
        <v>94</v>
      </c>
      <c r="S129" s="40" t="str">
        <f t="shared" si="22"/>
        <v>3</v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>08006</v>
      </c>
      <c r="B130" s="44" t="str">
        <f>IF(C130="","",VLOOKUP('OPĆI DIO'!$C$1,'OPĆI DIO'!$N$4:$W$137,9,FALSE))</f>
        <v>Sveučilišta i veleučilišta u Republici Hrvatskoj</v>
      </c>
      <c r="C130" s="50">
        <v>11</v>
      </c>
      <c r="D130" s="45" t="str">
        <f t="shared" si="14"/>
        <v>Opći prihodi i primici</v>
      </c>
      <c r="E130" s="50">
        <v>3236</v>
      </c>
      <c r="F130" s="45" t="str">
        <f t="shared" si="15"/>
        <v>Zdravstvene i veterinarske usluge</v>
      </c>
      <c r="G130" s="323" t="s">
        <v>665</v>
      </c>
      <c r="H130" s="45" t="str">
        <f t="shared" si="16"/>
        <v>PROGRAMSKO FINANCIRANJE JAVNIH VISOKIH UČILIŠTA</v>
      </c>
      <c r="I130" s="45" t="str">
        <f t="shared" si="17"/>
        <v>0942</v>
      </c>
      <c r="J130" s="224">
        <v>265</v>
      </c>
      <c r="K130" s="224">
        <v>265</v>
      </c>
      <c r="L130" s="224">
        <v>265</v>
      </c>
      <c r="M130" s="49"/>
      <c r="N130" s="246" t="str">
        <f>IF(C130="","",'OPĆI DIO'!$C$1)</f>
        <v>2452 SVEUČILIŠTE J. J. STROSSMAYERA U OSIJEKU</v>
      </c>
      <c r="O130" s="40" t="str">
        <f t="shared" si="18"/>
        <v>323</v>
      </c>
      <c r="P130" s="40" t="str">
        <f t="shared" si="19"/>
        <v>32</v>
      </c>
      <c r="Q130" s="40" t="str">
        <f t="shared" si="20"/>
        <v>11</v>
      </c>
      <c r="R130" s="40" t="str">
        <f t="shared" si="21"/>
        <v>94</v>
      </c>
      <c r="S130" s="40" t="str">
        <f t="shared" si="22"/>
        <v>3</v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>08006</v>
      </c>
      <c r="B131" s="44" t="str">
        <f>IF(C131="","",VLOOKUP('OPĆI DIO'!$C$1,'OPĆI DIO'!$N$4:$W$137,9,FALSE))</f>
        <v>Sveučilišta i veleučilišta u Republici Hrvatskoj</v>
      </c>
      <c r="C131" s="50">
        <v>11</v>
      </c>
      <c r="D131" s="45" t="str">
        <f t="shared" ref="D131:D194" si="29">IFERROR(VLOOKUP(C131,$T$6:$U$24,2,FALSE),"")</f>
        <v>Opći prihodi i primici</v>
      </c>
      <c r="E131" s="50">
        <v>3237</v>
      </c>
      <c r="F131" s="45" t="str">
        <f t="shared" si="15"/>
        <v>Intelektualne i osobne usluge</v>
      </c>
      <c r="G131" s="323" t="s">
        <v>665</v>
      </c>
      <c r="H131" s="45" t="str">
        <f t="shared" si="16"/>
        <v>PROGRAMSKO FINANCIRANJE JAVNIH VISOKIH UČILIŠTA</v>
      </c>
      <c r="I131" s="45" t="str">
        <f t="shared" si="17"/>
        <v>0942</v>
      </c>
      <c r="J131" s="224">
        <v>21765</v>
      </c>
      <c r="K131" s="224">
        <v>21765</v>
      </c>
      <c r="L131" s="224">
        <v>21765</v>
      </c>
      <c r="M131" s="49"/>
      <c r="N131" s="246" t="str">
        <f>IF(C131="","",'OPĆI DIO'!$C$1)</f>
        <v>2452 SVEUČILIŠTE J. J. STROSSMAYERA U OSIJEKU</v>
      </c>
      <c r="O131" s="40" t="str">
        <f t="shared" si="18"/>
        <v>323</v>
      </c>
      <c r="P131" s="40" t="str">
        <f t="shared" si="19"/>
        <v>32</v>
      </c>
      <c r="Q131" s="40" t="str">
        <f t="shared" si="20"/>
        <v>11</v>
      </c>
      <c r="R131" s="40" t="str">
        <f t="shared" si="21"/>
        <v>94</v>
      </c>
      <c r="S131" s="40" t="str">
        <f t="shared" si="22"/>
        <v>3</v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>08006</v>
      </c>
      <c r="B132" s="44" t="str">
        <f>IF(C132="","",VLOOKUP('OPĆI DIO'!$C$1,'OPĆI DIO'!$N$4:$W$137,9,FALSE))</f>
        <v>Sveučilišta i veleučilišta u Republici Hrvatskoj</v>
      </c>
      <c r="C132" s="50">
        <v>11</v>
      </c>
      <c r="D132" s="45" t="str">
        <f t="shared" si="29"/>
        <v>Opći prihodi i primici</v>
      </c>
      <c r="E132" s="50">
        <v>3238</v>
      </c>
      <c r="F132" s="45" t="str">
        <f t="shared" ref="F132:F195" si="30">IFERROR(VLOOKUP(E132,$W$5:$Y$129,2,FALSE),"")</f>
        <v>Računalne usluge</v>
      </c>
      <c r="G132" s="323" t="s">
        <v>665</v>
      </c>
      <c r="H132" s="45" t="str">
        <f t="shared" ref="H132:H195" si="31">IFERROR(VLOOKUP(G132,$AC$6:$AD$344,2,FALSE),"")</f>
        <v>PROGRAMSKO FINANCIRANJE JAVNIH VISOKIH UČILIŠTA</v>
      </c>
      <c r="I132" s="45" t="str">
        <f t="shared" ref="I132:I195" si="32">IFERROR(VLOOKUP(G132,$AC$6:$AG$344,3,FALSE),"")</f>
        <v>0942</v>
      </c>
      <c r="J132" s="224">
        <v>1700</v>
      </c>
      <c r="K132" s="224">
        <v>1700</v>
      </c>
      <c r="L132" s="224">
        <v>1700</v>
      </c>
      <c r="M132" s="49"/>
      <c r="N132" s="246" t="str">
        <f>IF(C132="","",'OPĆI DIO'!$C$1)</f>
        <v>2452 SVEUČILIŠTE J. J. STROSSMAYERA U OSIJEKU</v>
      </c>
      <c r="O132" s="40" t="str">
        <f t="shared" ref="O132:O195" si="33">LEFT(E132,3)</f>
        <v>323</v>
      </c>
      <c r="P132" s="40" t="str">
        <f t="shared" ref="P132:P195" si="34">LEFT(E132,2)</f>
        <v>32</v>
      </c>
      <c r="Q132" s="40" t="str">
        <f t="shared" ref="Q132:Q195" si="35">LEFT(C132,3)</f>
        <v>11</v>
      </c>
      <c r="R132" s="40" t="str">
        <f t="shared" ref="R132:R195" si="36">MID(I132,2,2)</f>
        <v>94</v>
      </c>
      <c r="S132" s="40" t="str">
        <f t="shared" ref="S132:S195" si="37">LEFT(E132,1)</f>
        <v>3</v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>08006</v>
      </c>
      <c r="B133" s="44" t="str">
        <f>IF(C133="","",VLOOKUP('OPĆI DIO'!$C$1,'OPĆI DIO'!$N$4:$W$137,9,FALSE))</f>
        <v>Sveučilišta i veleučilišta u Republici Hrvatskoj</v>
      </c>
      <c r="C133" s="50">
        <v>11</v>
      </c>
      <c r="D133" s="45" t="str">
        <f t="shared" si="29"/>
        <v>Opći prihodi i primici</v>
      </c>
      <c r="E133" s="50">
        <v>3239</v>
      </c>
      <c r="F133" s="45" t="str">
        <f t="shared" si="30"/>
        <v>Ostale usluge</v>
      </c>
      <c r="G133" s="323" t="s">
        <v>665</v>
      </c>
      <c r="H133" s="45" t="str">
        <f t="shared" si="31"/>
        <v>PROGRAMSKO FINANCIRANJE JAVNIH VISOKIH UČILIŠTA</v>
      </c>
      <c r="I133" s="45" t="str">
        <f t="shared" si="32"/>
        <v>0942</v>
      </c>
      <c r="J133" s="224">
        <v>1150</v>
      </c>
      <c r="K133" s="224">
        <v>1150</v>
      </c>
      <c r="L133" s="224">
        <v>1150</v>
      </c>
      <c r="M133" s="49"/>
      <c r="N133" s="246" t="str">
        <f>IF(C133="","",'OPĆI DIO'!$C$1)</f>
        <v>2452 SVEUČILIŠTE J. J. STROSSMAYERA U OSIJEKU</v>
      </c>
      <c r="O133" s="40" t="str">
        <f t="shared" si="33"/>
        <v>323</v>
      </c>
      <c r="P133" s="40" t="str">
        <f t="shared" si="34"/>
        <v>32</v>
      </c>
      <c r="Q133" s="40" t="str">
        <f t="shared" si="35"/>
        <v>11</v>
      </c>
      <c r="R133" s="40" t="str">
        <f t="shared" si="36"/>
        <v>94</v>
      </c>
      <c r="S133" s="40" t="str">
        <f t="shared" si="37"/>
        <v>3</v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>08006</v>
      </c>
      <c r="B134" s="44" t="str">
        <f>IF(C134="","",VLOOKUP('OPĆI DIO'!$C$1,'OPĆI DIO'!$N$4:$W$137,9,FALSE))</f>
        <v>Sveučilišta i veleučilišta u Republici Hrvatskoj</v>
      </c>
      <c r="C134" s="50">
        <v>11</v>
      </c>
      <c r="D134" s="45" t="str">
        <f t="shared" si="29"/>
        <v>Opći prihodi i primici</v>
      </c>
      <c r="E134" s="50">
        <v>3241</v>
      </c>
      <c r="F134" s="45" t="str">
        <f t="shared" si="30"/>
        <v>Naknade troškova osobama izvan radnog odnosa</v>
      </c>
      <c r="G134" s="323" t="s">
        <v>665</v>
      </c>
      <c r="H134" s="45" t="str">
        <f t="shared" si="31"/>
        <v>PROGRAMSKO FINANCIRANJE JAVNIH VISOKIH UČILIŠTA</v>
      </c>
      <c r="I134" s="45" t="str">
        <f t="shared" si="32"/>
        <v>0942</v>
      </c>
      <c r="J134" s="224">
        <v>1400</v>
      </c>
      <c r="K134" s="224">
        <v>1400</v>
      </c>
      <c r="L134" s="224">
        <v>1400</v>
      </c>
      <c r="M134" s="49"/>
      <c r="N134" s="246" t="str">
        <f>IF(C134="","",'OPĆI DIO'!$C$1)</f>
        <v>2452 SVEUČILIŠTE J. J. STROSSMAYERA U OSIJEKU</v>
      </c>
      <c r="O134" s="40" t="str">
        <f t="shared" si="33"/>
        <v>324</v>
      </c>
      <c r="P134" s="40" t="str">
        <f t="shared" si="34"/>
        <v>32</v>
      </c>
      <c r="Q134" s="40" t="str">
        <f t="shared" si="35"/>
        <v>11</v>
      </c>
      <c r="R134" s="40" t="str">
        <f t="shared" si="36"/>
        <v>94</v>
      </c>
      <c r="S134" s="40" t="str">
        <f t="shared" si="37"/>
        <v>3</v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>08006</v>
      </c>
      <c r="B135" s="44" t="str">
        <f>IF(C135="","",VLOOKUP('OPĆI DIO'!$C$1,'OPĆI DIO'!$N$4:$W$137,9,FALSE))</f>
        <v>Sveučilišta i veleučilišta u Republici Hrvatskoj</v>
      </c>
      <c r="C135" s="50">
        <v>11</v>
      </c>
      <c r="D135" s="45" t="str">
        <f t="shared" si="29"/>
        <v>Opći prihodi i primici</v>
      </c>
      <c r="E135" s="50">
        <v>3294</v>
      </c>
      <c r="F135" s="45" t="str">
        <f t="shared" si="30"/>
        <v>Članarine i norme</v>
      </c>
      <c r="G135" s="323" t="s">
        <v>665</v>
      </c>
      <c r="H135" s="45" t="str">
        <f t="shared" si="31"/>
        <v>PROGRAMSKO FINANCIRANJE JAVNIH VISOKIH UČILIŠTA</v>
      </c>
      <c r="I135" s="45" t="str">
        <f t="shared" si="32"/>
        <v>0942</v>
      </c>
      <c r="J135" s="224">
        <v>300</v>
      </c>
      <c r="K135" s="224">
        <v>300</v>
      </c>
      <c r="L135" s="224">
        <v>300</v>
      </c>
      <c r="M135" s="49"/>
      <c r="N135" s="246" t="str">
        <f>IF(C135="","",'OPĆI DIO'!$C$1)</f>
        <v>2452 SVEUČILIŠTE J. J. STROSSMAYERA U OSIJEKU</v>
      </c>
      <c r="O135" s="40" t="str">
        <f t="shared" si="33"/>
        <v>329</v>
      </c>
      <c r="P135" s="40" t="str">
        <f t="shared" si="34"/>
        <v>32</v>
      </c>
      <c r="Q135" s="40" t="str">
        <f t="shared" si="35"/>
        <v>11</v>
      </c>
      <c r="R135" s="40" t="str">
        <f t="shared" si="36"/>
        <v>94</v>
      </c>
      <c r="S135" s="40" t="str">
        <f t="shared" si="37"/>
        <v>3</v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>08006</v>
      </c>
      <c r="B136" s="44" t="str">
        <f>IF(C136="","",VLOOKUP('OPĆI DIO'!$C$1,'OPĆI DIO'!$N$4:$W$137,9,FALSE))</f>
        <v>Sveučilišta i veleučilišta u Republici Hrvatskoj</v>
      </c>
      <c r="C136" s="50">
        <v>11</v>
      </c>
      <c r="D136" s="45" t="str">
        <f t="shared" si="29"/>
        <v>Opći prihodi i primici</v>
      </c>
      <c r="E136" s="50">
        <v>3431</v>
      </c>
      <c r="F136" s="45" t="str">
        <f t="shared" si="30"/>
        <v>Bankarske usluge i usluge platnog prometa</v>
      </c>
      <c r="G136" s="323" t="s">
        <v>665</v>
      </c>
      <c r="H136" s="45" t="str">
        <f t="shared" si="31"/>
        <v>PROGRAMSKO FINANCIRANJE JAVNIH VISOKIH UČILIŠTA</v>
      </c>
      <c r="I136" s="45" t="str">
        <f t="shared" si="32"/>
        <v>0942</v>
      </c>
      <c r="J136" s="224">
        <v>1000</v>
      </c>
      <c r="K136" s="224">
        <v>1000</v>
      </c>
      <c r="L136" s="224">
        <v>1000</v>
      </c>
      <c r="M136" s="49"/>
      <c r="N136" s="246" t="str">
        <f>IF(C136="","",'OPĆI DIO'!$C$1)</f>
        <v>2452 SVEUČILIŠTE J. J. STROSSMAYERA U OSIJEKU</v>
      </c>
      <c r="O136" s="40" t="str">
        <f t="shared" si="33"/>
        <v>343</v>
      </c>
      <c r="P136" s="40" t="str">
        <f t="shared" si="34"/>
        <v>34</v>
      </c>
      <c r="Q136" s="40" t="str">
        <f t="shared" si="35"/>
        <v>11</v>
      </c>
      <c r="R136" s="40" t="str">
        <f t="shared" si="36"/>
        <v>94</v>
      </c>
      <c r="S136" s="40" t="str">
        <f t="shared" si="37"/>
        <v>3</v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>08006</v>
      </c>
      <c r="B137" s="44" t="str">
        <f>IF(C137="","",VLOOKUP('OPĆI DIO'!$C$1,'OPĆI DIO'!$N$4:$W$137,9,FALSE))</f>
        <v>Sveučilišta i veleučilišta u Republici Hrvatskoj</v>
      </c>
      <c r="C137" s="50">
        <v>11</v>
      </c>
      <c r="D137" s="45" t="str">
        <f t="shared" si="29"/>
        <v>Opći prihodi i primici</v>
      </c>
      <c r="E137" s="50">
        <v>4224</v>
      </c>
      <c r="F137" s="45" t="str">
        <f t="shared" si="30"/>
        <v>Medicinska i laboratorijska oprema</v>
      </c>
      <c r="G137" s="323" t="s">
        <v>665</v>
      </c>
      <c r="H137" s="45" t="str">
        <f t="shared" si="31"/>
        <v>PROGRAMSKO FINANCIRANJE JAVNIH VISOKIH UČILIŠTA</v>
      </c>
      <c r="I137" s="45" t="str">
        <f t="shared" si="32"/>
        <v>0942</v>
      </c>
      <c r="J137" s="224">
        <v>3500</v>
      </c>
      <c r="K137" s="224">
        <v>3500</v>
      </c>
      <c r="L137" s="224">
        <v>3500</v>
      </c>
      <c r="M137" s="49"/>
      <c r="N137" s="246" t="str">
        <f>IF(C137="","",'OPĆI DIO'!$C$1)</f>
        <v>2452 SVEUČILIŠTE J. J. STROSSMAYERA U OSIJEKU</v>
      </c>
      <c r="O137" s="40" t="str">
        <f t="shared" si="33"/>
        <v>422</v>
      </c>
      <c r="P137" s="40" t="str">
        <f t="shared" si="34"/>
        <v>42</v>
      </c>
      <c r="Q137" s="40" t="str">
        <f t="shared" si="35"/>
        <v>11</v>
      </c>
      <c r="R137" s="40" t="str">
        <f t="shared" si="36"/>
        <v>94</v>
      </c>
      <c r="S137" s="40" t="str">
        <f t="shared" si="37"/>
        <v>4</v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>08006</v>
      </c>
      <c r="B138" s="44" t="str">
        <f>IF(C138="","",VLOOKUP('OPĆI DIO'!$C$1,'OPĆI DIO'!$N$4:$W$137,9,FALSE))</f>
        <v>Sveučilišta i veleučilišta u Republici Hrvatskoj</v>
      </c>
      <c r="C138" s="50">
        <v>11</v>
      </c>
      <c r="D138" s="45" t="str">
        <f t="shared" si="29"/>
        <v>Opći prihodi i primici</v>
      </c>
      <c r="E138" s="50">
        <v>4241</v>
      </c>
      <c r="F138" s="45" t="str">
        <f t="shared" si="30"/>
        <v>Knjige</v>
      </c>
      <c r="G138" s="323" t="s">
        <v>665</v>
      </c>
      <c r="H138" s="45" t="str">
        <f t="shared" si="31"/>
        <v>PROGRAMSKO FINANCIRANJE JAVNIH VISOKIH UČILIŠTA</v>
      </c>
      <c r="I138" s="45" t="str">
        <f t="shared" si="32"/>
        <v>0942</v>
      </c>
      <c r="J138" s="224">
        <v>500</v>
      </c>
      <c r="K138" s="224">
        <v>500</v>
      </c>
      <c r="L138" s="224">
        <v>500</v>
      </c>
      <c r="M138" s="49"/>
      <c r="N138" s="246" t="str">
        <f>IF(C138="","",'OPĆI DIO'!$C$1)</f>
        <v>2452 SVEUČILIŠTE J. J. STROSSMAYERA U OSIJEKU</v>
      </c>
      <c r="O138" s="40" t="str">
        <f t="shared" si="33"/>
        <v>424</v>
      </c>
      <c r="P138" s="40" t="str">
        <f t="shared" si="34"/>
        <v>42</v>
      </c>
      <c r="Q138" s="40" t="str">
        <f t="shared" si="35"/>
        <v>11</v>
      </c>
      <c r="R138" s="40" t="str">
        <f t="shared" si="36"/>
        <v>94</v>
      </c>
      <c r="S138" s="40" t="str">
        <f t="shared" si="37"/>
        <v>4</v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>08006</v>
      </c>
      <c r="B139" s="44" t="str">
        <f>IF(C139="","",VLOOKUP('OPĆI DIO'!$C$1,'OPĆI DIO'!$N$4:$W$137,9,FALSE))</f>
        <v>Sveučilišta i veleučilišta u Republici Hrvatskoj</v>
      </c>
      <c r="C139" s="50">
        <v>31</v>
      </c>
      <c r="D139" s="45" t="str">
        <f t="shared" si="29"/>
        <v>Vlastiti prihodi</v>
      </c>
      <c r="E139" s="50">
        <v>3293</v>
      </c>
      <c r="F139" s="45" t="str">
        <f t="shared" si="30"/>
        <v>Reprezentacija</v>
      </c>
      <c r="G139" s="323" t="s">
        <v>176</v>
      </c>
      <c r="H139" s="45" t="str">
        <f t="shared" si="31"/>
        <v>REDOVNA DJELATNOST SVEUČILIŠTA U OSIJEKU (IZ EVIDENCIJSKIH PRIHODA)</v>
      </c>
      <c r="I139" s="45" t="str">
        <f t="shared" si="32"/>
        <v>0942</v>
      </c>
      <c r="J139" s="224">
        <v>800</v>
      </c>
      <c r="K139" s="224">
        <v>804</v>
      </c>
      <c r="L139" s="224">
        <v>806</v>
      </c>
      <c r="M139" s="49"/>
      <c r="N139" s="246" t="str">
        <f>IF(C139="","",'OPĆI DIO'!$C$1)</f>
        <v>2452 SVEUČILIŠTE J. J. STROSSMAYERA U OSIJEKU</v>
      </c>
      <c r="O139" s="40" t="str">
        <f t="shared" si="33"/>
        <v>329</v>
      </c>
      <c r="P139" s="40" t="str">
        <f t="shared" si="34"/>
        <v>32</v>
      </c>
      <c r="Q139" s="40" t="str">
        <f t="shared" si="35"/>
        <v>31</v>
      </c>
      <c r="R139" s="40" t="str">
        <f t="shared" si="36"/>
        <v>94</v>
      </c>
      <c r="S139" s="40" t="str">
        <f t="shared" si="37"/>
        <v>3</v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>08006</v>
      </c>
      <c r="B140" s="44" t="str">
        <f>IF(C140="","",VLOOKUP('OPĆI DIO'!$C$1,'OPĆI DIO'!$N$4:$W$137,9,FALSE))</f>
        <v>Sveučilišta i veleučilišta u Republici Hrvatskoj</v>
      </c>
      <c r="C140" s="50">
        <v>31</v>
      </c>
      <c r="D140" s="45" t="str">
        <f t="shared" si="29"/>
        <v>Vlastiti prihodi</v>
      </c>
      <c r="E140" s="50">
        <v>3431</v>
      </c>
      <c r="F140" s="45" t="str">
        <f t="shared" si="30"/>
        <v>Bankarske usluge i usluge platnog prometa</v>
      </c>
      <c r="G140" s="323" t="s">
        <v>176</v>
      </c>
      <c r="H140" s="45" t="str">
        <f t="shared" si="31"/>
        <v>REDOVNA DJELATNOST SVEUČILIŠTA U OSIJEKU (IZ EVIDENCIJSKIH PRIHODA)</v>
      </c>
      <c r="I140" s="45" t="str">
        <f t="shared" si="32"/>
        <v>0942</v>
      </c>
      <c r="J140" s="224">
        <v>100</v>
      </c>
      <c r="K140" s="224">
        <v>101</v>
      </c>
      <c r="L140" s="224">
        <v>102</v>
      </c>
      <c r="M140" s="49"/>
      <c r="N140" s="246" t="str">
        <f>IF(C140="","",'OPĆI DIO'!$C$1)</f>
        <v>2452 SVEUČILIŠTE J. J. STROSSMAYERA U OSIJEKU</v>
      </c>
      <c r="O140" s="40" t="str">
        <f t="shared" si="33"/>
        <v>343</v>
      </c>
      <c r="P140" s="40" t="str">
        <f t="shared" si="34"/>
        <v>34</v>
      </c>
      <c r="Q140" s="40" t="str">
        <f t="shared" si="35"/>
        <v>31</v>
      </c>
      <c r="R140" s="40" t="str">
        <f t="shared" si="36"/>
        <v>94</v>
      </c>
      <c r="S140" s="40" t="str">
        <f t="shared" si="37"/>
        <v>3</v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>08006</v>
      </c>
      <c r="B141" s="44" t="str">
        <f>IF(C141="","",VLOOKUP('OPĆI DIO'!$C$1,'OPĆI DIO'!$N$4:$W$137,9,FALSE))</f>
        <v>Sveučilišta i veleučilišta u Republici Hrvatskoj</v>
      </c>
      <c r="C141" s="50">
        <v>31</v>
      </c>
      <c r="D141" s="45" t="str">
        <f t="shared" si="29"/>
        <v>Vlastiti prihodi</v>
      </c>
      <c r="E141" s="50">
        <v>3299</v>
      </c>
      <c r="F141" s="45" t="str">
        <f t="shared" si="30"/>
        <v>Ostali nespomenuti rashodi poslovanja</v>
      </c>
      <c r="G141" s="323" t="s">
        <v>176</v>
      </c>
      <c r="H141" s="45" t="str">
        <f t="shared" si="31"/>
        <v>REDOVNA DJELATNOST SVEUČILIŠTA U OSIJEKU (IZ EVIDENCIJSKIH PRIHODA)</v>
      </c>
      <c r="I141" s="45" t="str">
        <f t="shared" si="32"/>
        <v>0942</v>
      </c>
      <c r="J141" s="224">
        <v>100</v>
      </c>
      <c r="K141" s="224">
        <v>101</v>
      </c>
      <c r="L141" s="224">
        <v>102</v>
      </c>
      <c r="M141" s="49"/>
      <c r="N141" s="246" t="str">
        <f>IF(C141="","",'OPĆI DIO'!$C$1)</f>
        <v>2452 SVEUČILIŠTE J. J. STROSSMAYERA U OSIJEKU</v>
      </c>
      <c r="O141" s="40" t="str">
        <f t="shared" si="33"/>
        <v>329</v>
      </c>
      <c r="P141" s="40" t="str">
        <f t="shared" si="34"/>
        <v>32</v>
      </c>
      <c r="Q141" s="40" t="str">
        <f t="shared" si="35"/>
        <v>31</v>
      </c>
      <c r="R141" s="40" t="str">
        <f t="shared" si="36"/>
        <v>94</v>
      </c>
      <c r="S141" s="40" t="str">
        <f t="shared" si="37"/>
        <v>3</v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>08006</v>
      </c>
      <c r="B142" s="44" t="str">
        <f>IF(C142="","",VLOOKUP('OPĆI DIO'!$C$1,'OPĆI DIO'!$N$4:$W$137,9,FALSE))</f>
        <v>Sveučilišta i veleučilišta u Republici Hrvatskoj</v>
      </c>
      <c r="C142" s="50">
        <v>43</v>
      </c>
      <c r="D142" s="45" t="str">
        <f t="shared" si="29"/>
        <v>Ostali prihodi za posebne namjene</v>
      </c>
      <c r="E142" s="50">
        <v>3121</v>
      </c>
      <c r="F142" s="45" t="str">
        <f t="shared" si="30"/>
        <v>Ostali rashodi za zaposlene</v>
      </c>
      <c r="G142" s="323" t="s">
        <v>176</v>
      </c>
      <c r="H142" s="45" t="str">
        <f t="shared" si="31"/>
        <v>REDOVNA DJELATNOST SVEUČILIŠTA U OSIJEKU (IZ EVIDENCIJSKIH PRIHODA)</v>
      </c>
      <c r="I142" s="45" t="str">
        <f t="shared" si="32"/>
        <v>0942</v>
      </c>
      <c r="J142" s="224">
        <v>7000</v>
      </c>
      <c r="K142" s="224">
        <v>7035</v>
      </c>
      <c r="L142" s="224">
        <v>7056</v>
      </c>
      <c r="M142" s="49"/>
      <c r="N142" s="246" t="str">
        <f>IF(C142="","",'OPĆI DIO'!$C$1)</f>
        <v>2452 SVEUČILIŠTE J. J. STROSSMAYERA U OSIJEKU</v>
      </c>
      <c r="O142" s="40" t="str">
        <f t="shared" si="33"/>
        <v>312</v>
      </c>
      <c r="P142" s="40" t="str">
        <f t="shared" si="34"/>
        <v>31</v>
      </c>
      <c r="Q142" s="40" t="str">
        <f t="shared" si="35"/>
        <v>43</v>
      </c>
      <c r="R142" s="40" t="str">
        <f t="shared" si="36"/>
        <v>94</v>
      </c>
      <c r="S142" s="40" t="str">
        <f t="shared" si="37"/>
        <v>3</v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>08006</v>
      </c>
      <c r="B143" s="44" t="str">
        <f>IF(C143="","",VLOOKUP('OPĆI DIO'!$C$1,'OPĆI DIO'!$N$4:$W$137,9,FALSE))</f>
        <v>Sveučilišta i veleučilišta u Republici Hrvatskoj</v>
      </c>
      <c r="C143" s="50">
        <v>43</v>
      </c>
      <c r="D143" s="45" t="str">
        <f t="shared" si="29"/>
        <v>Ostali prihodi za posebne namjene</v>
      </c>
      <c r="E143" s="50">
        <v>3211</v>
      </c>
      <c r="F143" s="45" t="str">
        <f t="shared" si="30"/>
        <v>Službena putovanja</v>
      </c>
      <c r="G143" s="323" t="s">
        <v>176</v>
      </c>
      <c r="H143" s="45" t="str">
        <f t="shared" si="31"/>
        <v>REDOVNA DJELATNOST SVEUČILIŠTA U OSIJEKU (IZ EVIDENCIJSKIH PRIHODA)</v>
      </c>
      <c r="I143" s="45" t="str">
        <f t="shared" si="32"/>
        <v>0942</v>
      </c>
      <c r="J143" s="224">
        <v>800</v>
      </c>
      <c r="K143" s="224">
        <v>803</v>
      </c>
      <c r="L143" s="224">
        <v>807</v>
      </c>
      <c r="M143" s="49"/>
      <c r="N143" s="246" t="str">
        <f>IF(C143="","",'OPĆI DIO'!$C$1)</f>
        <v>2452 SVEUČILIŠTE J. J. STROSSMAYERA U OSIJEKU</v>
      </c>
      <c r="O143" s="40" t="str">
        <f t="shared" si="33"/>
        <v>321</v>
      </c>
      <c r="P143" s="40" t="str">
        <f t="shared" si="34"/>
        <v>32</v>
      </c>
      <c r="Q143" s="40" t="str">
        <f t="shared" si="35"/>
        <v>43</v>
      </c>
      <c r="R143" s="40" t="str">
        <f t="shared" si="36"/>
        <v>94</v>
      </c>
      <c r="S143" s="40" t="str">
        <f t="shared" si="37"/>
        <v>3</v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>08006</v>
      </c>
      <c r="B144" s="44" t="str">
        <f>IF(C144="","",VLOOKUP('OPĆI DIO'!$C$1,'OPĆI DIO'!$N$4:$W$137,9,FALSE))</f>
        <v>Sveučilišta i veleučilišta u Republici Hrvatskoj</v>
      </c>
      <c r="C144" s="50">
        <v>43</v>
      </c>
      <c r="D144" s="45" t="str">
        <f t="shared" si="29"/>
        <v>Ostali prihodi za posebne namjene</v>
      </c>
      <c r="E144" s="50">
        <v>3213</v>
      </c>
      <c r="F144" s="45" t="str">
        <f t="shared" si="30"/>
        <v>Stručno usavršavanje zaposlenika</v>
      </c>
      <c r="G144" s="323" t="s">
        <v>176</v>
      </c>
      <c r="H144" s="45" t="str">
        <f t="shared" si="31"/>
        <v>REDOVNA DJELATNOST SVEUČILIŠTA U OSIJEKU (IZ EVIDENCIJSKIH PRIHODA)</v>
      </c>
      <c r="I144" s="45" t="str">
        <f t="shared" si="32"/>
        <v>0942</v>
      </c>
      <c r="J144" s="224">
        <v>200</v>
      </c>
      <c r="K144" s="224">
        <v>201</v>
      </c>
      <c r="L144" s="224">
        <v>202</v>
      </c>
      <c r="M144" s="49"/>
      <c r="N144" s="246" t="str">
        <f>IF(C144="","",'OPĆI DIO'!$C$1)</f>
        <v>2452 SVEUČILIŠTE J. J. STROSSMAYERA U OSIJEKU</v>
      </c>
      <c r="O144" s="40" t="str">
        <f t="shared" si="33"/>
        <v>321</v>
      </c>
      <c r="P144" s="40" t="str">
        <f t="shared" si="34"/>
        <v>32</v>
      </c>
      <c r="Q144" s="40" t="str">
        <f t="shared" si="35"/>
        <v>43</v>
      </c>
      <c r="R144" s="40" t="str">
        <f t="shared" si="36"/>
        <v>94</v>
      </c>
      <c r="S144" s="40" t="str">
        <f t="shared" si="37"/>
        <v>3</v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>08006</v>
      </c>
      <c r="B145" s="44" t="str">
        <f>IF(C145="","",VLOOKUP('OPĆI DIO'!$C$1,'OPĆI DIO'!$N$4:$W$137,9,FALSE))</f>
        <v>Sveučilišta i veleučilišta u Republici Hrvatskoj</v>
      </c>
      <c r="C145" s="50">
        <v>43</v>
      </c>
      <c r="D145" s="45" t="str">
        <f t="shared" si="29"/>
        <v>Ostali prihodi za posebne namjene</v>
      </c>
      <c r="E145" s="50">
        <v>3221</v>
      </c>
      <c r="F145" s="45" t="str">
        <f t="shared" si="30"/>
        <v>Uredski materijal i ostali materijalni rashodi</v>
      </c>
      <c r="G145" s="323" t="s">
        <v>176</v>
      </c>
      <c r="H145" s="45" t="str">
        <f t="shared" si="31"/>
        <v>REDOVNA DJELATNOST SVEUČILIŠTA U OSIJEKU (IZ EVIDENCIJSKIH PRIHODA)</v>
      </c>
      <c r="I145" s="45" t="str">
        <f t="shared" si="32"/>
        <v>0942</v>
      </c>
      <c r="J145" s="224">
        <v>8450</v>
      </c>
      <c r="K145" s="224">
        <v>8491</v>
      </c>
      <c r="L145" s="224">
        <v>8518</v>
      </c>
      <c r="M145" s="49"/>
      <c r="N145" s="246" t="str">
        <f>IF(C145="","",'OPĆI DIO'!$C$1)</f>
        <v>2452 SVEUČILIŠTE J. J. STROSSMAYERA U OSIJEKU</v>
      </c>
      <c r="O145" s="40" t="str">
        <f t="shared" si="33"/>
        <v>322</v>
      </c>
      <c r="P145" s="40" t="str">
        <f t="shared" si="34"/>
        <v>32</v>
      </c>
      <c r="Q145" s="40" t="str">
        <f t="shared" si="35"/>
        <v>43</v>
      </c>
      <c r="R145" s="40" t="str">
        <f t="shared" si="36"/>
        <v>94</v>
      </c>
      <c r="S145" s="40" t="str">
        <f t="shared" si="37"/>
        <v>3</v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>08006</v>
      </c>
      <c r="B146" s="44" t="str">
        <f>IF(C146="","",VLOOKUP('OPĆI DIO'!$C$1,'OPĆI DIO'!$N$4:$W$137,9,FALSE))</f>
        <v>Sveučilišta i veleučilišta u Republici Hrvatskoj</v>
      </c>
      <c r="C146" s="50">
        <v>43</v>
      </c>
      <c r="D146" s="45" t="str">
        <f t="shared" si="29"/>
        <v>Ostali prihodi za posebne namjene</v>
      </c>
      <c r="E146" s="50">
        <v>3223</v>
      </c>
      <c r="F146" s="45" t="str">
        <f t="shared" si="30"/>
        <v>Energija</v>
      </c>
      <c r="G146" s="323" t="s">
        <v>176</v>
      </c>
      <c r="H146" s="45" t="str">
        <f t="shared" si="31"/>
        <v>REDOVNA DJELATNOST SVEUČILIŠTA U OSIJEKU (IZ EVIDENCIJSKIH PRIHODA)</v>
      </c>
      <c r="I146" s="45" t="str">
        <f t="shared" si="32"/>
        <v>0942</v>
      </c>
      <c r="J146" s="224">
        <v>11220</v>
      </c>
      <c r="K146" s="224">
        <v>11276</v>
      </c>
      <c r="L146" s="224">
        <v>11294</v>
      </c>
      <c r="M146" s="49"/>
      <c r="N146" s="246" t="str">
        <f>IF(C146="","",'OPĆI DIO'!$C$1)</f>
        <v>2452 SVEUČILIŠTE J. J. STROSSMAYERA U OSIJEKU</v>
      </c>
      <c r="O146" s="40" t="str">
        <f t="shared" si="33"/>
        <v>322</v>
      </c>
      <c r="P146" s="40" t="str">
        <f t="shared" si="34"/>
        <v>32</v>
      </c>
      <c r="Q146" s="40" t="str">
        <f t="shared" si="35"/>
        <v>43</v>
      </c>
      <c r="R146" s="40" t="str">
        <f t="shared" si="36"/>
        <v>94</v>
      </c>
      <c r="S146" s="40" t="str">
        <f t="shared" si="37"/>
        <v>3</v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>08006</v>
      </c>
      <c r="B147" s="44" t="str">
        <f>IF(C147="","",VLOOKUP('OPĆI DIO'!$C$1,'OPĆI DIO'!$N$4:$W$137,9,FALSE))</f>
        <v>Sveučilišta i veleučilišta u Republici Hrvatskoj</v>
      </c>
      <c r="C147" s="50">
        <v>43</v>
      </c>
      <c r="D147" s="45" t="str">
        <f t="shared" si="29"/>
        <v>Ostali prihodi za posebne namjene</v>
      </c>
      <c r="E147" s="50">
        <v>3224</v>
      </c>
      <c r="F147" s="45" t="str">
        <f t="shared" si="30"/>
        <v>Materijal i dijelovi za tekuće i investicijsko održavanje</v>
      </c>
      <c r="G147" s="323" t="s">
        <v>176</v>
      </c>
      <c r="H147" s="45" t="str">
        <f t="shared" si="31"/>
        <v>REDOVNA DJELATNOST SVEUČILIŠTA U OSIJEKU (IZ EVIDENCIJSKIH PRIHODA)</v>
      </c>
      <c r="I147" s="45" t="str">
        <f t="shared" si="32"/>
        <v>0942</v>
      </c>
      <c r="J147" s="224">
        <v>1000</v>
      </c>
      <c r="K147" s="224">
        <v>1004</v>
      </c>
      <c r="L147" s="224">
        <v>1008</v>
      </c>
      <c r="M147" s="49"/>
      <c r="N147" s="246" t="str">
        <f>IF(C147="","",'OPĆI DIO'!$C$1)</f>
        <v>2452 SVEUČILIŠTE J. J. STROSSMAYERA U OSIJEKU</v>
      </c>
      <c r="O147" s="40" t="str">
        <f t="shared" si="33"/>
        <v>322</v>
      </c>
      <c r="P147" s="40" t="str">
        <f t="shared" si="34"/>
        <v>32</v>
      </c>
      <c r="Q147" s="40" t="str">
        <f t="shared" si="35"/>
        <v>43</v>
      </c>
      <c r="R147" s="40" t="str">
        <f t="shared" si="36"/>
        <v>94</v>
      </c>
      <c r="S147" s="40" t="str">
        <f t="shared" si="37"/>
        <v>3</v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>08006</v>
      </c>
      <c r="B148" s="44" t="str">
        <f>IF(C148="","",VLOOKUP('OPĆI DIO'!$C$1,'OPĆI DIO'!$N$4:$W$137,9,FALSE))</f>
        <v>Sveučilišta i veleučilišta u Republici Hrvatskoj</v>
      </c>
      <c r="C148" s="373">
        <v>43</v>
      </c>
      <c r="D148" s="45" t="str">
        <f t="shared" si="29"/>
        <v>Ostali prihodi za posebne namjene</v>
      </c>
      <c r="E148" s="373">
        <v>3225</v>
      </c>
      <c r="F148" s="45" t="str">
        <f t="shared" si="30"/>
        <v>Sitni inventar i auto gume</v>
      </c>
      <c r="G148" s="323" t="s">
        <v>176</v>
      </c>
      <c r="H148" s="45" t="str">
        <f t="shared" si="31"/>
        <v>REDOVNA DJELATNOST SVEUČILIŠTA U OSIJEKU (IZ EVIDENCIJSKIH PRIHODA)</v>
      </c>
      <c r="I148" s="45" t="str">
        <f t="shared" si="32"/>
        <v>0942</v>
      </c>
      <c r="J148" s="224">
        <v>500</v>
      </c>
      <c r="K148" s="224">
        <v>502</v>
      </c>
      <c r="L148" s="224">
        <v>504</v>
      </c>
      <c r="M148" s="49"/>
      <c r="N148" s="246" t="str">
        <f>IF(C148="","",'OPĆI DIO'!$C$1)</f>
        <v>2452 SVEUČILIŠTE J. J. STROSSMAYERA U OSIJEKU</v>
      </c>
      <c r="O148" s="40" t="str">
        <f t="shared" si="33"/>
        <v>322</v>
      </c>
      <c r="P148" s="40" t="str">
        <f t="shared" si="34"/>
        <v>32</v>
      </c>
      <c r="Q148" s="40" t="str">
        <f t="shared" si="35"/>
        <v>43</v>
      </c>
      <c r="R148" s="40" t="str">
        <f t="shared" si="36"/>
        <v>94</v>
      </c>
      <c r="S148" s="40" t="str">
        <f t="shared" si="37"/>
        <v>3</v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>08006</v>
      </c>
      <c r="B149" s="44" t="str">
        <f>IF(C149="","",VLOOKUP('OPĆI DIO'!$C$1,'OPĆI DIO'!$N$4:$W$137,9,FALSE))</f>
        <v>Sveučilišta i veleučilišta u Republici Hrvatskoj</v>
      </c>
      <c r="C149" s="50">
        <v>43</v>
      </c>
      <c r="D149" s="45" t="str">
        <f t="shared" si="29"/>
        <v>Ostali prihodi za posebne namjene</v>
      </c>
      <c r="E149" s="50">
        <v>3227</v>
      </c>
      <c r="F149" s="45" t="str">
        <f t="shared" si="30"/>
        <v>Službena, radna i zaštitna odjeća i obuća</v>
      </c>
      <c r="G149" s="323" t="s">
        <v>176</v>
      </c>
      <c r="H149" s="45" t="str">
        <f t="shared" si="31"/>
        <v>REDOVNA DJELATNOST SVEUČILIŠTA U OSIJEKU (IZ EVIDENCIJSKIH PRIHODA)</v>
      </c>
      <c r="I149" s="45" t="str">
        <f t="shared" si="32"/>
        <v>0942</v>
      </c>
      <c r="J149" s="224">
        <v>500</v>
      </c>
      <c r="K149" s="224">
        <v>502</v>
      </c>
      <c r="L149" s="224">
        <v>504</v>
      </c>
      <c r="M149" s="49"/>
      <c r="N149" s="246" t="str">
        <f>IF(C149="","",'OPĆI DIO'!$C$1)</f>
        <v>2452 SVEUČILIŠTE J. J. STROSSMAYERA U OSIJEKU</v>
      </c>
      <c r="O149" s="40" t="str">
        <f t="shared" si="33"/>
        <v>322</v>
      </c>
      <c r="P149" s="40" t="str">
        <f t="shared" si="34"/>
        <v>32</v>
      </c>
      <c r="Q149" s="40" t="str">
        <f t="shared" si="35"/>
        <v>43</v>
      </c>
      <c r="R149" s="40" t="str">
        <f t="shared" si="36"/>
        <v>94</v>
      </c>
      <c r="S149" s="40" t="str">
        <f t="shared" si="37"/>
        <v>3</v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>08006</v>
      </c>
      <c r="B150" s="44" t="str">
        <f>IF(C150="","",VLOOKUP('OPĆI DIO'!$C$1,'OPĆI DIO'!$N$4:$W$137,9,FALSE))</f>
        <v>Sveučilišta i veleučilišta u Republici Hrvatskoj</v>
      </c>
      <c r="C150" s="50">
        <v>43</v>
      </c>
      <c r="D150" s="45" t="str">
        <f t="shared" si="29"/>
        <v>Ostali prihodi za posebne namjene</v>
      </c>
      <c r="E150" s="50">
        <v>3231</v>
      </c>
      <c r="F150" s="45" t="str">
        <f t="shared" si="30"/>
        <v>Usluge telefona, pošte i prijevoza</v>
      </c>
      <c r="G150" s="323" t="s">
        <v>176</v>
      </c>
      <c r="H150" s="45" t="str">
        <f t="shared" si="31"/>
        <v>REDOVNA DJELATNOST SVEUČILIŠTA U OSIJEKU (IZ EVIDENCIJSKIH PRIHODA)</v>
      </c>
      <c r="I150" s="45" t="str">
        <f t="shared" si="32"/>
        <v>0942</v>
      </c>
      <c r="J150" s="224">
        <v>1300</v>
      </c>
      <c r="K150" s="224">
        <v>1306</v>
      </c>
      <c r="L150" s="224">
        <v>1310</v>
      </c>
      <c r="M150" s="49"/>
      <c r="N150" s="246" t="str">
        <f>IF(C150="","",'OPĆI DIO'!$C$1)</f>
        <v>2452 SVEUČILIŠTE J. J. STROSSMAYERA U OSIJEKU</v>
      </c>
      <c r="O150" s="40" t="str">
        <f t="shared" si="33"/>
        <v>323</v>
      </c>
      <c r="P150" s="40" t="str">
        <f t="shared" si="34"/>
        <v>32</v>
      </c>
      <c r="Q150" s="40" t="str">
        <f t="shared" si="35"/>
        <v>43</v>
      </c>
      <c r="R150" s="40" t="str">
        <f t="shared" si="36"/>
        <v>94</v>
      </c>
      <c r="S150" s="40" t="str">
        <f t="shared" si="37"/>
        <v>3</v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>08006</v>
      </c>
      <c r="B151" s="44" t="str">
        <f>IF(C151="","",VLOOKUP('OPĆI DIO'!$C$1,'OPĆI DIO'!$N$4:$W$137,9,FALSE))</f>
        <v>Sveučilišta i veleučilišta u Republici Hrvatskoj</v>
      </c>
      <c r="C151" s="50">
        <v>43</v>
      </c>
      <c r="D151" s="45" t="str">
        <f t="shared" si="29"/>
        <v>Ostali prihodi za posebne namjene</v>
      </c>
      <c r="E151" s="50">
        <v>3232</v>
      </c>
      <c r="F151" s="45" t="str">
        <f t="shared" si="30"/>
        <v>Usluge tekućeg i investicijskog održavanja</v>
      </c>
      <c r="G151" s="323" t="s">
        <v>176</v>
      </c>
      <c r="H151" s="45" t="str">
        <f t="shared" si="31"/>
        <v>REDOVNA DJELATNOST SVEUČILIŠTA U OSIJEKU (IZ EVIDENCIJSKIH PRIHODA)</v>
      </c>
      <c r="I151" s="45" t="str">
        <f t="shared" si="32"/>
        <v>0942</v>
      </c>
      <c r="J151" s="224">
        <v>1150</v>
      </c>
      <c r="K151" s="224">
        <v>1156</v>
      </c>
      <c r="L151" s="224">
        <v>1159</v>
      </c>
      <c r="M151" s="49"/>
      <c r="N151" s="246" t="str">
        <f>IF(C151="","",'OPĆI DIO'!$C$1)</f>
        <v>2452 SVEUČILIŠTE J. J. STROSSMAYERA U OSIJEKU</v>
      </c>
      <c r="O151" s="40" t="str">
        <f t="shared" si="33"/>
        <v>323</v>
      </c>
      <c r="P151" s="40" t="str">
        <f t="shared" si="34"/>
        <v>32</v>
      </c>
      <c r="Q151" s="40" t="str">
        <f t="shared" si="35"/>
        <v>43</v>
      </c>
      <c r="R151" s="40" t="str">
        <f t="shared" si="36"/>
        <v>94</v>
      </c>
      <c r="S151" s="40" t="str">
        <f t="shared" si="37"/>
        <v>3</v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>08006</v>
      </c>
      <c r="B152" s="44" t="str">
        <f>IF(C152="","",VLOOKUP('OPĆI DIO'!$C$1,'OPĆI DIO'!$N$4:$W$137,9,FALSE))</f>
        <v>Sveučilišta i veleučilišta u Republici Hrvatskoj</v>
      </c>
      <c r="C152" s="50">
        <v>43</v>
      </c>
      <c r="D152" s="45" t="str">
        <f t="shared" si="29"/>
        <v>Ostali prihodi za posebne namjene</v>
      </c>
      <c r="E152" s="50">
        <v>3233</v>
      </c>
      <c r="F152" s="45" t="str">
        <f t="shared" si="30"/>
        <v>Usluge promidžbe i informiranja</v>
      </c>
      <c r="G152" s="374" t="s">
        <v>176</v>
      </c>
      <c r="H152" s="45" t="str">
        <f t="shared" si="31"/>
        <v>REDOVNA DJELATNOST SVEUČILIŠTA U OSIJEKU (IZ EVIDENCIJSKIH PRIHODA)</v>
      </c>
      <c r="I152" s="45" t="str">
        <f t="shared" si="32"/>
        <v>0942</v>
      </c>
      <c r="J152" s="224">
        <v>3000</v>
      </c>
      <c r="K152" s="224">
        <v>3015</v>
      </c>
      <c r="L152" s="224">
        <v>3024</v>
      </c>
      <c r="M152" s="49"/>
      <c r="N152" s="246" t="str">
        <f>IF(C152="","",'OPĆI DIO'!$C$1)</f>
        <v>2452 SVEUČILIŠTE J. J. STROSSMAYERA U OSIJEKU</v>
      </c>
      <c r="O152" s="40" t="str">
        <f t="shared" si="33"/>
        <v>323</v>
      </c>
      <c r="P152" s="40" t="str">
        <f t="shared" si="34"/>
        <v>32</v>
      </c>
      <c r="Q152" s="40" t="str">
        <f t="shared" si="35"/>
        <v>43</v>
      </c>
      <c r="R152" s="40" t="str">
        <f t="shared" si="36"/>
        <v>94</v>
      </c>
      <c r="S152" s="40" t="str">
        <f t="shared" si="37"/>
        <v>3</v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>08006</v>
      </c>
      <c r="B153" s="44" t="str">
        <f>IF(C153="","",VLOOKUP('OPĆI DIO'!$C$1,'OPĆI DIO'!$N$4:$W$137,9,FALSE))</f>
        <v>Sveučilišta i veleučilišta u Republici Hrvatskoj</v>
      </c>
      <c r="C153" s="50">
        <v>43</v>
      </c>
      <c r="D153" s="45" t="str">
        <f t="shared" si="29"/>
        <v>Ostali prihodi za posebne namjene</v>
      </c>
      <c r="E153" s="50">
        <v>3234</v>
      </c>
      <c r="F153" s="45" t="str">
        <f t="shared" si="30"/>
        <v>Komunalne usluge</v>
      </c>
      <c r="G153" s="374" t="s">
        <v>176</v>
      </c>
      <c r="H153" s="45" t="str">
        <f t="shared" si="31"/>
        <v>REDOVNA DJELATNOST SVEUČILIŠTA U OSIJEKU (IZ EVIDENCIJSKIH PRIHODA)</v>
      </c>
      <c r="I153" s="45" t="str">
        <f t="shared" si="32"/>
        <v>0942</v>
      </c>
      <c r="J153" s="224">
        <v>2400</v>
      </c>
      <c r="K153" s="224">
        <v>2411</v>
      </c>
      <c r="L153" s="224">
        <v>2419</v>
      </c>
      <c r="M153" s="49"/>
      <c r="N153" s="246" t="str">
        <f>IF(C153="","",'OPĆI DIO'!$C$1)</f>
        <v>2452 SVEUČILIŠTE J. J. STROSSMAYERA U OSIJEKU</v>
      </c>
      <c r="O153" s="40" t="str">
        <f t="shared" si="33"/>
        <v>323</v>
      </c>
      <c r="P153" s="40" t="str">
        <f t="shared" si="34"/>
        <v>32</v>
      </c>
      <c r="Q153" s="40" t="str">
        <f t="shared" si="35"/>
        <v>43</v>
      </c>
      <c r="R153" s="40" t="str">
        <f t="shared" si="36"/>
        <v>94</v>
      </c>
      <c r="S153" s="40" t="str">
        <f t="shared" si="37"/>
        <v>3</v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>08006</v>
      </c>
      <c r="B154" s="44" t="str">
        <f>IF(C154="","",VLOOKUP('OPĆI DIO'!$C$1,'OPĆI DIO'!$N$4:$W$137,9,FALSE))</f>
        <v>Sveučilišta i veleučilišta u Republici Hrvatskoj</v>
      </c>
      <c r="C154" s="50">
        <v>43</v>
      </c>
      <c r="D154" s="45" t="str">
        <f t="shared" si="29"/>
        <v>Ostali prihodi za posebne namjene</v>
      </c>
      <c r="E154" s="50">
        <v>3235</v>
      </c>
      <c r="F154" s="45" t="str">
        <f t="shared" si="30"/>
        <v>Zakupnine i najamnine</v>
      </c>
      <c r="G154" s="374" t="s">
        <v>176</v>
      </c>
      <c r="H154" s="45" t="str">
        <f t="shared" si="31"/>
        <v>REDOVNA DJELATNOST SVEUČILIŠTA U OSIJEKU (IZ EVIDENCIJSKIH PRIHODA)</v>
      </c>
      <c r="I154" s="45" t="str">
        <f t="shared" si="32"/>
        <v>0942</v>
      </c>
      <c r="J154" s="224">
        <v>1300</v>
      </c>
      <c r="K154" s="224">
        <v>1306</v>
      </c>
      <c r="L154" s="224">
        <v>1310</v>
      </c>
      <c r="M154" s="49"/>
      <c r="N154" s="246" t="str">
        <f>IF(C154="","",'OPĆI DIO'!$C$1)</f>
        <v>2452 SVEUČILIŠTE J. J. STROSSMAYERA U OSIJEKU</v>
      </c>
      <c r="O154" s="40" t="str">
        <f t="shared" si="33"/>
        <v>323</v>
      </c>
      <c r="P154" s="40" t="str">
        <f t="shared" si="34"/>
        <v>32</v>
      </c>
      <c r="Q154" s="40" t="str">
        <f t="shared" si="35"/>
        <v>43</v>
      </c>
      <c r="R154" s="40" t="str">
        <f t="shared" si="36"/>
        <v>94</v>
      </c>
      <c r="S154" s="40" t="str">
        <f t="shared" si="37"/>
        <v>3</v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>08006</v>
      </c>
      <c r="B155" s="44" t="str">
        <f>IF(C155="","",VLOOKUP('OPĆI DIO'!$C$1,'OPĆI DIO'!$N$4:$W$137,9,FALSE))</f>
        <v>Sveučilišta i veleučilišta u Republici Hrvatskoj</v>
      </c>
      <c r="C155" s="50">
        <v>43</v>
      </c>
      <c r="D155" s="45" t="str">
        <f t="shared" si="29"/>
        <v>Ostali prihodi za posebne namjene</v>
      </c>
      <c r="E155" s="50">
        <v>3236</v>
      </c>
      <c r="F155" s="45" t="str">
        <f t="shared" si="30"/>
        <v>Zdravstvene i veterinarske usluge</v>
      </c>
      <c r="G155" s="374" t="s">
        <v>176</v>
      </c>
      <c r="H155" s="45" t="str">
        <f t="shared" si="31"/>
        <v>REDOVNA DJELATNOST SVEUČILIŠTA U OSIJEKU (IZ EVIDENCIJSKIH PRIHODA)</v>
      </c>
      <c r="I155" s="45" t="str">
        <f t="shared" si="32"/>
        <v>0942</v>
      </c>
      <c r="J155" s="224">
        <v>200</v>
      </c>
      <c r="K155" s="224">
        <v>201</v>
      </c>
      <c r="L155" s="224">
        <v>202</v>
      </c>
      <c r="M155" s="49"/>
      <c r="N155" s="246" t="str">
        <f>IF(C155="","",'OPĆI DIO'!$C$1)</f>
        <v>2452 SVEUČILIŠTE J. J. STROSSMAYERA U OSIJEKU</v>
      </c>
      <c r="O155" s="40" t="str">
        <f t="shared" si="33"/>
        <v>323</v>
      </c>
      <c r="P155" s="40" t="str">
        <f t="shared" si="34"/>
        <v>32</v>
      </c>
      <c r="Q155" s="40" t="str">
        <f t="shared" si="35"/>
        <v>43</v>
      </c>
      <c r="R155" s="40" t="str">
        <f t="shared" si="36"/>
        <v>94</v>
      </c>
      <c r="S155" s="40" t="str">
        <f t="shared" si="37"/>
        <v>3</v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>08006</v>
      </c>
      <c r="B156" s="44" t="str">
        <f>IF(C156="","",VLOOKUP('OPĆI DIO'!$C$1,'OPĆI DIO'!$N$4:$W$137,9,FALSE))</f>
        <v>Sveučilišta i veleučilišta u Republici Hrvatskoj</v>
      </c>
      <c r="C156" s="50">
        <v>43</v>
      </c>
      <c r="D156" s="45" t="str">
        <f t="shared" si="29"/>
        <v>Ostali prihodi za posebne namjene</v>
      </c>
      <c r="E156" s="50">
        <v>3237</v>
      </c>
      <c r="F156" s="45" t="str">
        <f t="shared" si="30"/>
        <v>Intelektualne i osobne usluge</v>
      </c>
      <c r="G156" s="374" t="s">
        <v>176</v>
      </c>
      <c r="H156" s="45" t="str">
        <f t="shared" si="31"/>
        <v>REDOVNA DJELATNOST SVEUČILIŠTA U OSIJEKU (IZ EVIDENCIJSKIH PRIHODA)</v>
      </c>
      <c r="I156" s="45" t="str">
        <f t="shared" si="32"/>
        <v>0942</v>
      </c>
      <c r="J156" s="224">
        <v>3900</v>
      </c>
      <c r="K156" s="224">
        <v>3919</v>
      </c>
      <c r="L156" s="224">
        <v>3930</v>
      </c>
      <c r="M156" s="49"/>
      <c r="N156" s="246" t="str">
        <f>IF(C156="","",'OPĆI DIO'!$C$1)</f>
        <v>2452 SVEUČILIŠTE J. J. STROSSMAYERA U OSIJEKU</v>
      </c>
      <c r="O156" s="40" t="str">
        <f t="shared" si="33"/>
        <v>323</v>
      </c>
      <c r="P156" s="40" t="str">
        <f t="shared" si="34"/>
        <v>32</v>
      </c>
      <c r="Q156" s="40" t="str">
        <f t="shared" si="35"/>
        <v>43</v>
      </c>
      <c r="R156" s="40" t="str">
        <f t="shared" si="36"/>
        <v>94</v>
      </c>
      <c r="S156" s="40" t="str">
        <f t="shared" si="37"/>
        <v>3</v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>08006</v>
      </c>
      <c r="B157" s="44" t="str">
        <f>IF(C157="","",VLOOKUP('OPĆI DIO'!$C$1,'OPĆI DIO'!$N$4:$W$137,9,FALSE))</f>
        <v>Sveučilišta i veleučilišta u Republici Hrvatskoj</v>
      </c>
      <c r="C157" s="50">
        <v>43</v>
      </c>
      <c r="D157" s="45" t="str">
        <f t="shared" si="29"/>
        <v>Ostali prihodi za posebne namjene</v>
      </c>
      <c r="E157" s="50">
        <v>3238</v>
      </c>
      <c r="F157" s="45" t="str">
        <f t="shared" si="30"/>
        <v>Računalne usluge</v>
      </c>
      <c r="G157" s="374" t="s">
        <v>176</v>
      </c>
      <c r="H157" s="45" t="str">
        <f t="shared" si="31"/>
        <v>REDOVNA DJELATNOST SVEUČILIŠTA U OSIJEKU (IZ EVIDENCIJSKIH PRIHODA)</v>
      </c>
      <c r="I157" s="45" t="str">
        <f t="shared" si="32"/>
        <v>0942</v>
      </c>
      <c r="J157" s="224">
        <v>50</v>
      </c>
      <c r="K157" s="224">
        <v>50</v>
      </c>
      <c r="L157" s="224">
        <v>50</v>
      </c>
      <c r="M157" s="49"/>
      <c r="N157" s="246" t="str">
        <f>IF(C157="","",'OPĆI DIO'!$C$1)</f>
        <v>2452 SVEUČILIŠTE J. J. STROSSMAYERA U OSIJEKU</v>
      </c>
      <c r="O157" s="40" t="str">
        <f t="shared" si="33"/>
        <v>323</v>
      </c>
      <c r="P157" s="40" t="str">
        <f t="shared" si="34"/>
        <v>32</v>
      </c>
      <c r="Q157" s="40" t="str">
        <f t="shared" si="35"/>
        <v>43</v>
      </c>
      <c r="R157" s="40" t="str">
        <f t="shared" si="36"/>
        <v>94</v>
      </c>
      <c r="S157" s="40" t="str">
        <f t="shared" si="37"/>
        <v>3</v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>08006</v>
      </c>
      <c r="B158" s="44" t="str">
        <f>IF(C158="","",VLOOKUP('OPĆI DIO'!$C$1,'OPĆI DIO'!$N$4:$W$137,9,FALSE))</f>
        <v>Sveučilišta i veleučilišta u Republici Hrvatskoj</v>
      </c>
      <c r="C158" s="50">
        <v>43</v>
      </c>
      <c r="D158" s="45" t="str">
        <f t="shared" si="29"/>
        <v>Ostali prihodi za posebne namjene</v>
      </c>
      <c r="E158" s="50">
        <v>3239</v>
      </c>
      <c r="F158" s="45" t="str">
        <f t="shared" si="30"/>
        <v>Ostale usluge</v>
      </c>
      <c r="G158" s="374" t="s">
        <v>176</v>
      </c>
      <c r="H158" s="45" t="str">
        <f t="shared" si="31"/>
        <v>REDOVNA DJELATNOST SVEUČILIŠTA U OSIJEKU (IZ EVIDENCIJSKIH PRIHODA)</v>
      </c>
      <c r="I158" s="45" t="str">
        <f t="shared" si="32"/>
        <v>0942</v>
      </c>
      <c r="J158" s="224">
        <v>3800</v>
      </c>
      <c r="K158" s="224">
        <v>3819</v>
      </c>
      <c r="L158" s="224">
        <v>3831</v>
      </c>
      <c r="M158" s="49"/>
      <c r="N158" s="246" t="str">
        <f>IF(C158="","",'OPĆI DIO'!$C$1)</f>
        <v>2452 SVEUČILIŠTE J. J. STROSSMAYERA U OSIJEKU</v>
      </c>
      <c r="O158" s="40" t="str">
        <f t="shared" si="33"/>
        <v>323</v>
      </c>
      <c r="P158" s="40" t="str">
        <f t="shared" si="34"/>
        <v>32</v>
      </c>
      <c r="Q158" s="40" t="str">
        <f t="shared" si="35"/>
        <v>43</v>
      </c>
      <c r="R158" s="40" t="str">
        <f t="shared" si="36"/>
        <v>94</v>
      </c>
      <c r="S158" s="40" t="str">
        <f t="shared" si="37"/>
        <v>3</v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>08006</v>
      </c>
      <c r="B159" s="44" t="str">
        <f>IF(C159="","",VLOOKUP('OPĆI DIO'!$C$1,'OPĆI DIO'!$N$4:$W$137,9,FALSE))</f>
        <v>Sveučilišta i veleučilišta u Republici Hrvatskoj</v>
      </c>
      <c r="C159" s="50">
        <v>43</v>
      </c>
      <c r="D159" s="45" t="str">
        <f t="shared" si="29"/>
        <v>Ostali prihodi za posebne namjene</v>
      </c>
      <c r="E159" s="50">
        <v>3241</v>
      </c>
      <c r="F159" s="45" t="str">
        <f t="shared" si="30"/>
        <v>Naknade troškova osobama izvan radnog odnosa</v>
      </c>
      <c r="G159" s="374" t="s">
        <v>176</v>
      </c>
      <c r="H159" s="45" t="str">
        <f t="shared" si="31"/>
        <v>REDOVNA DJELATNOST SVEUČILIŠTA U OSIJEKU (IZ EVIDENCIJSKIH PRIHODA)</v>
      </c>
      <c r="I159" s="45" t="str">
        <f t="shared" si="32"/>
        <v>0942</v>
      </c>
      <c r="J159" s="224">
        <v>700</v>
      </c>
      <c r="K159" s="224">
        <v>703</v>
      </c>
      <c r="L159" s="224">
        <v>705</v>
      </c>
      <c r="M159" s="49"/>
      <c r="N159" s="246" t="str">
        <f>IF(C159="","",'OPĆI DIO'!$C$1)</f>
        <v>2452 SVEUČILIŠTE J. J. STROSSMAYERA U OSIJEKU</v>
      </c>
      <c r="O159" s="40" t="str">
        <f t="shared" si="33"/>
        <v>324</v>
      </c>
      <c r="P159" s="40" t="str">
        <f t="shared" si="34"/>
        <v>32</v>
      </c>
      <c r="Q159" s="40" t="str">
        <f t="shared" si="35"/>
        <v>43</v>
      </c>
      <c r="R159" s="40" t="str">
        <f t="shared" si="36"/>
        <v>94</v>
      </c>
      <c r="S159" s="40" t="str">
        <f t="shared" si="37"/>
        <v>3</v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>08006</v>
      </c>
      <c r="B160" s="44" t="str">
        <f>IF(C160="","",VLOOKUP('OPĆI DIO'!$C$1,'OPĆI DIO'!$N$4:$W$137,9,FALSE))</f>
        <v>Sveučilišta i veleučilišta u Republici Hrvatskoj</v>
      </c>
      <c r="C160" s="50">
        <v>43</v>
      </c>
      <c r="D160" s="45" t="str">
        <f t="shared" si="29"/>
        <v>Ostali prihodi za posebne namjene</v>
      </c>
      <c r="E160" s="50">
        <v>3293</v>
      </c>
      <c r="F160" s="45" t="str">
        <f t="shared" si="30"/>
        <v>Reprezentacija</v>
      </c>
      <c r="G160" s="374" t="s">
        <v>176</v>
      </c>
      <c r="H160" s="45" t="str">
        <f t="shared" si="31"/>
        <v>REDOVNA DJELATNOST SVEUČILIŠTA U OSIJEKU (IZ EVIDENCIJSKIH PRIHODA)</v>
      </c>
      <c r="I160" s="45" t="str">
        <f t="shared" si="32"/>
        <v>0942</v>
      </c>
      <c r="J160" s="224">
        <v>1500</v>
      </c>
      <c r="K160" s="224">
        <v>1507</v>
      </c>
      <c r="L160" s="224">
        <v>1512</v>
      </c>
      <c r="M160" s="49"/>
      <c r="N160" s="246" t="str">
        <f>IF(C160="","",'OPĆI DIO'!$C$1)</f>
        <v>2452 SVEUČILIŠTE J. J. STROSSMAYERA U OSIJEKU</v>
      </c>
      <c r="O160" s="40" t="str">
        <f t="shared" si="33"/>
        <v>329</v>
      </c>
      <c r="P160" s="40" t="str">
        <f t="shared" si="34"/>
        <v>32</v>
      </c>
      <c r="Q160" s="40" t="str">
        <f t="shared" si="35"/>
        <v>43</v>
      </c>
      <c r="R160" s="40" t="str">
        <f t="shared" si="36"/>
        <v>94</v>
      </c>
      <c r="S160" s="40" t="str">
        <f t="shared" si="37"/>
        <v>3</v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>08006</v>
      </c>
      <c r="B161" s="44" t="str">
        <f>IF(C161="","",VLOOKUP('OPĆI DIO'!$C$1,'OPĆI DIO'!$N$4:$W$137,9,FALSE))</f>
        <v>Sveučilišta i veleučilišta u Republici Hrvatskoj</v>
      </c>
      <c r="C161" s="50">
        <v>43</v>
      </c>
      <c r="D161" s="45" t="str">
        <f t="shared" si="29"/>
        <v>Ostali prihodi za posebne namjene</v>
      </c>
      <c r="E161" s="50">
        <v>3294</v>
      </c>
      <c r="F161" s="45" t="str">
        <f t="shared" si="30"/>
        <v>Članarine i norme</v>
      </c>
      <c r="G161" s="374" t="s">
        <v>176</v>
      </c>
      <c r="H161" s="45" t="str">
        <f t="shared" si="31"/>
        <v>REDOVNA DJELATNOST SVEUČILIŠTA U OSIJEKU (IZ EVIDENCIJSKIH PRIHODA)</v>
      </c>
      <c r="I161" s="45" t="str">
        <f t="shared" si="32"/>
        <v>0942</v>
      </c>
      <c r="J161" s="224">
        <v>100</v>
      </c>
      <c r="K161" s="224">
        <v>100</v>
      </c>
      <c r="L161" s="224">
        <v>101</v>
      </c>
      <c r="M161" s="49"/>
      <c r="N161" s="246" t="str">
        <f>IF(C161="","",'OPĆI DIO'!$C$1)</f>
        <v>2452 SVEUČILIŠTE J. J. STROSSMAYERA U OSIJEKU</v>
      </c>
      <c r="O161" s="40" t="str">
        <f t="shared" si="33"/>
        <v>329</v>
      </c>
      <c r="P161" s="40" t="str">
        <f t="shared" si="34"/>
        <v>32</v>
      </c>
      <c r="Q161" s="40" t="str">
        <f t="shared" si="35"/>
        <v>43</v>
      </c>
      <c r="R161" s="40" t="str">
        <f t="shared" si="36"/>
        <v>94</v>
      </c>
      <c r="S161" s="40" t="str">
        <f t="shared" si="37"/>
        <v>3</v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>08006</v>
      </c>
      <c r="B162" s="44" t="str">
        <f>IF(C162="","",VLOOKUP('OPĆI DIO'!$C$1,'OPĆI DIO'!$N$4:$W$137,9,FALSE))</f>
        <v>Sveučilišta i veleučilišta u Republici Hrvatskoj</v>
      </c>
      <c r="C162" s="50">
        <v>43</v>
      </c>
      <c r="D162" s="45" t="str">
        <f t="shared" si="29"/>
        <v>Ostali prihodi za posebne namjene</v>
      </c>
      <c r="E162" s="50">
        <v>3299</v>
      </c>
      <c r="F162" s="45" t="str">
        <f t="shared" si="30"/>
        <v>Ostali nespomenuti rashodi poslovanja</v>
      </c>
      <c r="G162" s="374" t="s">
        <v>176</v>
      </c>
      <c r="H162" s="45" t="str">
        <f t="shared" si="31"/>
        <v>REDOVNA DJELATNOST SVEUČILIŠTA U OSIJEKU (IZ EVIDENCIJSKIH PRIHODA)</v>
      </c>
      <c r="I162" s="45" t="str">
        <f t="shared" si="32"/>
        <v>0942</v>
      </c>
      <c r="J162" s="224">
        <v>2700</v>
      </c>
      <c r="K162" s="224">
        <v>2713</v>
      </c>
      <c r="L162" s="224">
        <v>2722</v>
      </c>
      <c r="M162" s="49"/>
      <c r="N162" s="246" t="str">
        <f>IF(C162="","",'OPĆI DIO'!$C$1)</f>
        <v>2452 SVEUČILIŠTE J. J. STROSSMAYERA U OSIJEKU</v>
      </c>
      <c r="O162" s="40" t="str">
        <f t="shared" si="33"/>
        <v>329</v>
      </c>
      <c r="P162" s="40" t="str">
        <f t="shared" si="34"/>
        <v>32</v>
      </c>
      <c r="Q162" s="40" t="str">
        <f t="shared" si="35"/>
        <v>43</v>
      </c>
      <c r="R162" s="40" t="str">
        <f t="shared" si="36"/>
        <v>94</v>
      </c>
      <c r="S162" s="40" t="str">
        <f t="shared" si="37"/>
        <v>3</v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>08006</v>
      </c>
      <c r="B163" s="44" t="str">
        <f>IF(C163="","",VLOOKUP('OPĆI DIO'!$C$1,'OPĆI DIO'!$N$4:$W$137,9,FALSE))</f>
        <v>Sveučilišta i veleučilišta u Republici Hrvatskoj</v>
      </c>
      <c r="C163" s="50">
        <v>43</v>
      </c>
      <c r="D163" s="45" t="str">
        <f t="shared" si="29"/>
        <v>Ostali prihodi za posebne namjene</v>
      </c>
      <c r="E163" s="50">
        <v>3431</v>
      </c>
      <c r="F163" s="45" t="str">
        <f t="shared" si="30"/>
        <v>Bankarske usluge i usluge platnog prometa</v>
      </c>
      <c r="G163" s="374" t="s">
        <v>176</v>
      </c>
      <c r="H163" s="45" t="str">
        <f t="shared" si="31"/>
        <v>REDOVNA DJELATNOST SVEUČILIŠTA U OSIJEKU (IZ EVIDENCIJSKIH PRIHODA)</v>
      </c>
      <c r="I163" s="45" t="str">
        <f t="shared" si="32"/>
        <v>0942</v>
      </c>
      <c r="J163" s="224">
        <v>530</v>
      </c>
      <c r="K163" s="224">
        <v>533</v>
      </c>
      <c r="L163" s="224">
        <v>534</v>
      </c>
      <c r="M163" s="49"/>
      <c r="N163" s="246" t="str">
        <f>IF(C163="","",'OPĆI DIO'!$C$1)</f>
        <v>2452 SVEUČILIŠTE J. J. STROSSMAYERA U OSIJEKU</v>
      </c>
      <c r="O163" s="40" t="str">
        <f t="shared" si="33"/>
        <v>343</v>
      </c>
      <c r="P163" s="40" t="str">
        <f t="shared" si="34"/>
        <v>34</v>
      </c>
      <c r="Q163" s="40" t="str">
        <f t="shared" si="35"/>
        <v>43</v>
      </c>
      <c r="R163" s="40" t="str">
        <f t="shared" si="36"/>
        <v>94</v>
      </c>
      <c r="S163" s="40" t="str">
        <f t="shared" si="37"/>
        <v>3</v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>08006</v>
      </c>
      <c r="B164" s="44" t="str">
        <f>IF(C164="","",VLOOKUP('OPĆI DIO'!$C$1,'OPĆI DIO'!$N$4:$W$137,9,FALSE))</f>
        <v>Sveučilišta i veleučilišta u Republici Hrvatskoj</v>
      </c>
      <c r="C164" s="50">
        <v>43</v>
      </c>
      <c r="D164" s="45" t="str">
        <f t="shared" si="29"/>
        <v>Ostali prihodi za posebne namjene</v>
      </c>
      <c r="E164" s="50">
        <v>3721</v>
      </c>
      <c r="F164" s="45" t="str">
        <f t="shared" si="30"/>
        <v>Naknade građanima i kućanstvima u novcu</v>
      </c>
      <c r="G164" s="374" t="s">
        <v>176</v>
      </c>
      <c r="H164" s="45" t="str">
        <f t="shared" si="31"/>
        <v>REDOVNA DJELATNOST SVEUČILIŠTA U OSIJEKU (IZ EVIDENCIJSKIH PRIHODA)</v>
      </c>
      <c r="I164" s="45" t="str">
        <f t="shared" si="32"/>
        <v>0942</v>
      </c>
      <c r="J164" s="224">
        <v>800</v>
      </c>
      <c r="K164" s="224">
        <v>804</v>
      </c>
      <c r="L164" s="224">
        <v>806</v>
      </c>
      <c r="M164" s="49"/>
      <c r="N164" s="246" t="str">
        <f>IF(C164="","",'OPĆI DIO'!$C$1)</f>
        <v>2452 SVEUČILIŠTE J. J. STROSSMAYERA U OSIJEKU</v>
      </c>
      <c r="O164" s="40" t="str">
        <f t="shared" si="33"/>
        <v>372</v>
      </c>
      <c r="P164" s="40" t="str">
        <f t="shared" si="34"/>
        <v>37</v>
      </c>
      <c r="Q164" s="40" t="str">
        <f t="shared" si="35"/>
        <v>43</v>
      </c>
      <c r="R164" s="40" t="str">
        <f t="shared" si="36"/>
        <v>94</v>
      </c>
      <c r="S164" s="40" t="str">
        <f t="shared" si="37"/>
        <v>3</v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>08006</v>
      </c>
      <c r="B165" s="44" t="str">
        <f>IF(C165="","",VLOOKUP('OPĆI DIO'!$C$1,'OPĆI DIO'!$N$4:$W$137,9,FALSE))</f>
        <v>Sveučilišta i veleučilišta u Republici Hrvatskoj</v>
      </c>
      <c r="C165" s="50">
        <v>43</v>
      </c>
      <c r="D165" s="45" t="str">
        <f t="shared" si="29"/>
        <v>Ostali prihodi za posebne namjene</v>
      </c>
      <c r="E165" s="50">
        <v>4221</v>
      </c>
      <c r="F165" s="45" t="str">
        <f t="shared" si="30"/>
        <v>Uredska oprema i namještaj</v>
      </c>
      <c r="G165" s="374" t="s">
        <v>176</v>
      </c>
      <c r="H165" s="45" t="str">
        <f t="shared" si="31"/>
        <v>REDOVNA DJELATNOST SVEUČILIŠTA U OSIJEKU (IZ EVIDENCIJSKIH PRIHODA)</v>
      </c>
      <c r="I165" s="45" t="str">
        <f t="shared" si="32"/>
        <v>0942</v>
      </c>
      <c r="J165" s="224">
        <v>3800</v>
      </c>
      <c r="K165" s="224">
        <v>3818</v>
      </c>
      <c r="L165" s="224">
        <v>3830</v>
      </c>
      <c r="M165" s="49"/>
      <c r="N165" s="246" t="str">
        <f>IF(C165="","",'OPĆI DIO'!$C$1)</f>
        <v>2452 SVEUČILIŠTE J. J. STROSSMAYERA U OSIJEKU</v>
      </c>
      <c r="O165" s="40" t="str">
        <f t="shared" si="33"/>
        <v>422</v>
      </c>
      <c r="P165" s="40" t="str">
        <f t="shared" si="34"/>
        <v>42</v>
      </c>
      <c r="Q165" s="40" t="str">
        <f t="shared" si="35"/>
        <v>43</v>
      </c>
      <c r="R165" s="40" t="str">
        <f t="shared" si="36"/>
        <v>94</v>
      </c>
      <c r="S165" s="40" t="str">
        <f t="shared" si="37"/>
        <v>4</v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>08006</v>
      </c>
      <c r="B166" s="44" t="str">
        <f>IF(C166="","",VLOOKUP('OPĆI DIO'!$C$1,'OPĆI DIO'!$N$4:$W$137,9,FALSE))</f>
        <v>Sveučilišta i veleučilišta u Republici Hrvatskoj</v>
      </c>
      <c r="C166" s="50">
        <v>43</v>
      </c>
      <c r="D166" s="45" t="str">
        <f t="shared" si="29"/>
        <v>Ostali prihodi za posebne namjene</v>
      </c>
      <c r="E166" s="50">
        <v>4241</v>
      </c>
      <c r="F166" s="45" t="str">
        <f t="shared" si="30"/>
        <v>Knjige</v>
      </c>
      <c r="G166" s="374" t="s">
        <v>176</v>
      </c>
      <c r="H166" s="45" t="str">
        <f t="shared" si="31"/>
        <v>REDOVNA DJELATNOST SVEUČILIŠTA U OSIJEKU (IZ EVIDENCIJSKIH PRIHODA)</v>
      </c>
      <c r="I166" s="45" t="str">
        <f t="shared" si="32"/>
        <v>0942</v>
      </c>
      <c r="J166" s="224">
        <v>100</v>
      </c>
      <c r="K166" s="224">
        <v>100</v>
      </c>
      <c r="L166" s="224">
        <v>101</v>
      </c>
      <c r="M166" s="49"/>
      <c r="N166" s="246" t="str">
        <f>IF(C166="","",'OPĆI DIO'!$C$1)</f>
        <v>2452 SVEUČILIŠTE J. J. STROSSMAYERA U OSIJEKU</v>
      </c>
      <c r="O166" s="40" t="str">
        <f t="shared" si="33"/>
        <v>424</v>
      </c>
      <c r="P166" s="40" t="str">
        <f t="shared" si="34"/>
        <v>42</v>
      </c>
      <c r="Q166" s="40" t="str">
        <f t="shared" si="35"/>
        <v>43</v>
      </c>
      <c r="R166" s="40" t="str">
        <f t="shared" si="36"/>
        <v>94</v>
      </c>
      <c r="S166" s="40" t="str">
        <f t="shared" si="37"/>
        <v>4</v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>08006</v>
      </c>
      <c r="B167" s="44" t="str">
        <f>IF(C167="","",VLOOKUP('OPĆI DIO'!$C$1,'OPĆI DIO'!$N$4:$W$137,9,FALSE))</f>
        <v>Sveučilišta i veleučilišta u Republici Hrvatskoj</v>
      </c>
      <c r="C167" s="50">
        <v>52</v>
      </c>
      <c r="D167" s="45" t="str">
        <f t="shared" si="29"/>
        <v>Ostale pomoći</v>
      </c>
      <c r="E167" s="50">
        <v>3111</v>
      </c>
      <c r="F167" s="45" t="str">
        <f t="shared" si="30"/>
        <v>Plaće za redovan rad</v>
      </c>
      <c r="G167" s="374" t="s">
        <v>176</v>
      </c>
      <c r="H167" s="45" t="str">
        <f t="shared" si="31"/>
        <v>REDOVNA DJELATNOST SVEUČILIŠTA U OSIJEKU (IZ EVIDENCIJSKIH PRIHODA)</v>
      </c>
      <c r="I167" s="45" t="str">
        <f t="shared" si="32"/>
        <v>0942</v>
      </c>
      <c r="J167" s="224">
        <v>3250</v>
      </c>
      <c r="K167" s="224">
        <v>0</v>
      </c>
      <c r="L167" s="224">
        <v>0</v>
      </c>
      <c r="M167" s="49"/>
      <c r="N167" s="246" t="str">
        <f>IF(C167="","",'OPĆI DIO'!$C$1)</f>
        <v>2452 SVEUČILIŠTE J. J. STROSSMAYERA U OSIJEKU</v>
      </c>
      <c r="O167" s="40" t="str">
        <f t="shared" si="33"/>
        <v>311</v>
      </c>
      <c r="P167" s="40" t="str">
        <f t="shared" si="34"/>
        <v>31</v>
      </c>
      <c r="Q167" s="40" t="str">
        <f t="shared" si="35"/>
        <v>52</v>
      </c>
      <c r="R167" s="40" t="str">
        <f t="shared" si="36"/>
        <v>94</v>
      </c>
      <c r="S167" s="40" t="str">
        <f t="shared" si="37"/>
        <v>3</v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>08006</v>
      </c>
      <c r="B168" s="44" t="str">
        <f>IF(C168="","",VLOOKUP('OPĆI DIO'!$C$1,'OPĆI DIO'!$N$4:$W$137,9,FALSE))</f>
        <v>Sveučilišta i veleučilišta u Republici Hrvatskoj</v>
      </c>
      <c r="C168" s="50">
        <v>52</v>
      </c>
      <c r="D168" s="45" t="str">
        <f t="shared" si="29"/>
        <v>Ostale pomoći</v>
      </c>
      <c r="E168" s="50">
        <v>3132</v>
      </c>
      <c r="F168" s="45" t="str">
        <f t="shared" si="30"/>
        <v>Doprinosi za obvezno zdravstveno osiguranje</v>
      </c>
      <c r="G168" s="374" t="s">
        <v>176</v>
      </c>
      <c r="H168" s="45" t="str">
        <f t="shared" si="31"/>
        <v>REDOVNA DJELATNOST SVEUČILIŠTA U OSIJEKU (IZ EVIDENCIJSKIH PRIHODA)</v>
      </c>
      <c r="I168" s="45" t="str">
        <f t="shared" si="32"/>
        <v>0942</v>
      </c>
      <c r="J168" s="224">
        <v>570</v>
      </c>
      <c r="K168" s="224">
        <v>0</v>
      </c>
      <c r="L168" s="224">
        <v>0</v>
      </c>
      <c r="M168" s="49"/>
      <c r="N168" s="246" t="str">
        <f>IF(C168="","",'OPĆI DIO'!$C$1)</f>
        <v>2452 SVEUČILIŠTE J. J. STROSSMAYERA U OSIJEKU</v>
      </c>
      <c r="O168" s="40" t="str">
        <f t="shared" si="33"/>
        <v>313</v>
      </c>
      <c r="P168" s="40" t="str">
        <f t="shared" si="34"/>
        <v>31</v>
      </c>
      <c r="Q168" s="40" t="str">
        <f t="shared" si="35"/>
        <v>52</v>
      </c>
      <c r="R168" s="40" t="str">
        <f t="shared" si="36"/>
        <v>94</v>
      </c>
      <c r="S168" s="40" t="str">
        <f t="shared" si="37"/>
        <v>3</v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>08006</v>
      </c>
      <c r="B169" s="44" t="str">
        <f>IF(C169="","",VLOOKUP('OPĆI DIO'!$C$1,'OPĆI DIO'!$N$4:$W$137,9,FALSE))</f>
        <v>Sveučilišta i veleučilišta u Republici Hrvatskoj</v>
      </c>
      <c r="C169" s="50">
        <v>52</v>
      </c>
      <c r="D169" s="45" t="str">
        <f t="shared" si="29"/>
        <v>Ostale pomoći</v>
      </c>
      <c r="E169" s="50">
        <v>3212</v>
      </c>
      <c r="F169" s="45" t="str">
        <f t="shared" si="30"/>
        <v>Naknade za prijevoz, za rad na terenu i odvojeni život</v>
      </c>
      <c r="G169" s="374" t="s">
        <v>176</v>
      </c>
      <c r="H169" s="45" t="str">
        <f t="shared" si="31"/>
        <v>REDOVNA DJELATNOST SVEUČILIŠTA U OSIJEKU (IZ EVIDENCIJSKIH PRIHODA)</v>
      </c>
      <c r="I169" s="45" t="str">
        <f t="shared" si="32"/>
        <v>0942</v>
      </c>
      <c r="J169" s="224">
        <v>180</v>
      </c>
      <c r="K169" s="224">
        <v>0</v>
      </c>
      <c r="L169" s="224">
        <v>0</v>
      </c>
      <c r="M169" s="49"/>
      <c r="N169" s="246" t="str">
        <f>IF(C169="","",'OPĆI DIO'!$C$1)</f>
        <v>2452 SVEUČILIŠTE J. J. STROSSMAYERA U OSIJEKU</v>
      </c>
      <c r="O169" s="40" t="str">
        <f t="shared" si="33"/>
        <v>321</v>
      </c>
      <c r="P169" s="40" t="str">
        <f t="shared" si="34"/>
        <v>32</v>
      </c>
      <c r="Q169" s="40" t="str">
        <f t="shared" si="35"/>
        <v>52</v>
      </c>
      <c r="R169" s="40" t="str">
        <f t="shared" si="36"/>
        <v>94</v>
      </c>
      <c r="S169" s="40" t="str">
        <f t="shared" si="37"/>
        <v>3</v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>08006</v>
      </c>
      <c r="B170" s="44" t="str">
        <f>IF(C170="","",VLOOKUP('OPĆI DIO'!$C$1,'OPĆI DIO'!$N$4:$W$137,9,FALSE))</f>
        <v>Sveučilišta i veleučilišta u Republici Hrvatskoj</v>
      </c>
      <c r="C170" s="50">
        <v>11</v>
      </c>
      <c r="D170" s="45" t="str">
        <f t="shared" si="29"/>
        <v>Opći prihodi i primici</v>
      </c>
      <c r="E170" s="50">
        <v>3111</v>
      </c>
      <c r="F170" s="45" t="str">
        <f t="shared" si="30"/>
        <v>Plaće za redovan rad</v>
      </c>
      <c r="G170" s="374" t="s">
        <v>60</v>
      </c>
      <c r="H170" s="45" t="str">
        <f t="shared" si="31"/>
        <v>REDOVNA DJELATNOST SVEUČILIŠTA U OSIJEKU</v>
      </c>
      <c r="I170" s="45" t="str">
        <f t="shared" si="32"/>
        <v>0942</v>
      </c>
      <c r="J170" s="224">
        <v>1818126</v>
      </c>
      <c r="K170" s="224">
        <v>1827036</v>
      </c>
      <c r="L170" s="224">
        <v>1836164</v>
      </c>
      <c r="M170" s="49"/>
      <c r="N170" s="246" t="str">
        <f>IF(C170="","",'OPĆI DIO'!$C$1)</f>
        <v>2452 SVEUČILIŠTE J. J. STROSSMAYERA U OSIJEKU</v>
      </c>
      <c r="O170" s="40" t="str">
        <f t="shared" si="33"/>
        <v>311</v>
      </c>
      <c r="P170" s="40" t="str">
        <f t="shared" si="34"/>
        <v>31</v>
      </c>
      <c r="Q170" s="40" t="str">
        <f t="shared" si="35"/>
        <v>11</v>
      </c>
      <c r="R170" s="40" t="str">
        <f t="shared" si="36"/>
        <v>94</v>
      </c>
      <c r="S170" s="40" t="str">
        <f t="shared" si="37"/>
        <v>3</v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>08006</v>
      </c>
      <c r="B171" s="44" t="str">
        <f>IF(C171="","",VLOOKUP('OPĆI DIO'!$C$1,'OPĆI DIO'!$N$4:$W$137,9,FALSE))</f>
        <v>Sveučilišta i veleučilišta u Republici Hrvatskoj</v>
      </c>
      <c r="C171" s="50">
        <v>11</v>
      </c>
      <c r="D171" s="45" t="str">
        <f t="shared" si="29"/>
        <v>Opći prihodi i primici</v>
      </c>
      <c r="E171" s="50">
        <v>3114</v>
      </c>
      <c r="F171" s="45" t="str">
        <f t="shared" si="30"/>
        <v>Plaće za posebne uvjete rada</v>
      </c>
      <c r="G171" s="374" t="s">
        <v>60</v>
      </c>
      <c r="H171" s="45" t="str">
        <f t="shared" si="31"/>
        <v>REDOVNA DJELATNOST SVEUČILIŠTA U OSIJEKU</v>
      </c>
      <c r="I171" s="45" t="str">
        <f t="shared" si="32"/>
        <v>0942</v>
      </c>
      <c r="J171" s="224">
        <v>4501</v>
      </c>
      <c r="K171" s="224">
        <v>4522</v>
      </c>
      <c r="L171" s="224">
        <v>4523</v>
      </c>
      <c r="M171" s="49"/>
      <c r="N171" s="246" t="str">
        <f>IF(C171="","",'OPĆI DIO'!$C$1)</f>
        <v>2452 SVEUČILIŠTE J. J. STROSSMAYERA U OSIJEKU</v>
      </c>
      <c r="O171" s="40" t="str">
        <f t="shared" si="33"/>
        <v>311</v>
      </c>
      <c r="P171" s="40" t="str">
        <f t="shared" si="34"/>
        <v>31</v>
      </c>
      <c r="Q171" s="40" t="str">
        <f t="shared" si="35"/>
        <v>11</v>
      </c>
      <c r="R171" s="40" t="str">
        <f t="shared" si="36"/>
        <v>94</v>
      </c>
      <c r="S171" s="40" t="str">
        <f t="shared" si="37"/>
        <v>3</v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>08006</v>
      </c>
      <c r="B172" s="44" t="str">
        <f>IF(C172="","",VLOOKUP('OPĆI DIO'!$C$1,'OPĆI DIO'!$N$4:$W$137,9,FALSE))</f>
        <v>Sveučilišta i veleučilišta u Republici Hrvatskoj</v>
      </c>
      <c r="C172" s="50">
        <v>11</v>
      </c>
      <c r="D172" s="45" t="str">
        <f t="shared" si="29"/>
        <v>Opći prihodi i primici</v>
      </c>
      <c r="E172" s="50">
        <v>3132</v>
      </c>
      <c r="F172" s="45" t="str">
        <f t="shared" si="30"/>
        <v>Doprinosi za obvezno zdravstveno osiguranje</v>
      </c>
      <c r="G172" s="374" t="s">
        <v>60</v>
      </c>
      <c r="H172" s="45" t="str">
        <f t="shared" si="31"/>
        <v>REDOVNA DJELATNOST SVEUČILIŠTA U OSIJEKU</v>
      </c>
      <c r="I172" s="45" t="str">
        <f t="shared" si="32"/>
        <v>0942</v>
      </c>
      <c r="J172" s="224">
        <v>125688</v>
      </c>
      <c r="K172" s="224">
        <v>126301</v>
      </c>
      <c r="L172" s="224">
        <v>126922</v>
      </c>
      <c r="M172" s="49"/>
      <c r="N172" s="246" t="str">
        <f>IF(C172="","",'OPĆI DIO'!$C$1)</f>
        <v>2452 SVEUČILIŠTE J. J. STROSSMAYERA U OSIJEKU</v>
      </c>
      <c r="O172" s="40" t="str">
        <f t="shared" si="33"/>
        <v>313</v>
      </c>
      <c r="P172" s="40" t="str">
        <f t="shared" si="34"/>
        <v>31</v>
      </c>
      <c r="Q172" s="40" t="str">
        <f t="shared" si="35"/>
        <v>11</v>
      </c>
      <c r="R172" s="40" t="str">
        <f t="shared" si="36"/>
        <v>94</v>
      </c>
      <c r="S172" s="40" t="str">
        <f t="shared" si="37"/>
        <v>3</v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>08006</v>
      </c>
      <c r="B173" s="44" t="str">
        <f>IF(C173="","",VLOOKUP('OPĆI DIO'!$C$1,'OPĆI DIO'!$N$4:$W$137,9,FALSE))</f>
        <v>Sveučilišta i veleučilišta u Republici Hrvatskoj</v>
      </c>
      <c r="C173" s="50">
        <v>11</v>
      </c>
      <c r="D173" s="45" t="str">
        <f t="shared" si="29"/>
        <v>Opći prihodi i primici</v>
      </c>
      <c r="E173" s="50">
        <v>3121</v>
      </c>
      <c r="F173" s="45" t="str">
        <f t="shared" si="30"/>
        <v>Ostali rashodi za zaposlene</v>
      </c>
      <c r="G173" s="82" t="s">
        <v>60</v>
      </c>
      <c r="H173" s="45" t="str">
        <f t="shared" si="31"/>
        <v>REDOVNA DJELATNOST SVEUČILIŠTA U OSIJEKU</v>
      </c>
      <c r="I173" s="45" t="str">
        <f t="shared" si="32"/>
        <v>0942</v>
      </c>
      <c r="J173" s="224">
        <v>46409</v>
      </c>
      <c r="K173" s="224">
        <v>46635</v>
      </c>
      <c r="L173" s="224">
        <v>46863</v>
      </c>
      <c r="M173" s="49"/>
      <c r="N173" s="246" t="str">
        <f>IF(C173="","",'OPĆI DIO'!$C$1)</f>
        <v>2452 SVEUČILIŠTE J. J. STROSSMAYERA U OSIJEKU</v>
      </c>
      <c r="O173" s="40" t="str">
        <f t="shared" si="33"/>
        <v>312</v>
      </c>
      <c r="P173" s="40" t="str">
        <f t="shared" si="34"/>
        <v>31</v>
      </c>
      <c r="Q173" s="40" t="str">
        <f t="shared" si="35"/>
        <v>11</v>
      </c>
      <c r="R173" s="40" t="str">
        <f t="shared" si="36"/>
        <v>94</v>
      </c>
      <c r="S173" s="40" t="str">
        <f t="shared" si="37"/>
        <v>3</v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>08006</v>
      </c>
      <c r="B174" s="44" t="str">
        <f>IF(C174="","",VLOOKUP('OPĆI DIO'!$C$1,'OPĆI DIO'!$N$4:$W$137,9,FALSE))</f>
        <v>Sveučilišta i veleučilišta u Republici Hrvatskoj</v>
      </c>
      <c r="C174" s="50">
        <v>11</v>
      </c>
      <c r="D174" s="45" t="str">
        <f t="shared" si="29"/>
        <v>Opći prihodi i primici</v>
      </c>
      <c r="E174" s="50">
        <v>3212</v>
      </c>
      <c r="F174" s="45" t="str">
        <f t="shared" si="30"/>
        <v>Naknade za prijevoz, za rad na terenu i odvojeni život</v>
      </c>
      <c r="G174" s="82" t="s">
        <v>60</v>
      </c>
      <c r="H174" s="45" t="str">
        <f t="shared" si="31"/>
        <v>REDOVNA DJELATNOST SVEUČILIŠTA U OSIJEKU</v>
      </c>
      <c r="I174" s="45" t="str">
        <f t="shared" si="32"/>
        <v>0942</v>
      </c>
      <c r="J174" s="224">
        <v>22870</v>
      </c>
      <c r="K174" s="224">
        <v>22981</v>
      </c>
      <c r="L174" s="224">
        <v>23094</v>
      </c>
      <c r="M174" s="49"/>
      <c r="N174" s="246" t="str">
        <f>IF(C174="","",'OPĆI DIO'!$C$1)</f>
        <v>2452 SVEUČILIŠTE J. J. STROSSMAYERA U OSIJEKU</v>
      </c>
      <c r="O174" s="40" t="str">
        <f t="shared" si="33"/>
        <v>321</v>
      </c>
      <c r="P174" s="40" t="str">
        <f t="shared" si="34"/>
        <v>32</v>
      </c>
      <c r="Q174" s="40" t="str">
        <f t="shared" si="35"/>
        <v>11</v>
      </c>
      <c r="R174" s="40" t="str">
        <f t="shared" si="36"/>
        <v>94</v>
      </c>
      <c r="S174" s="40" t="str">
        <f t="shared" si="37"/>
        <v>3</v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>08006</v>
      </c>
      <c r="B175" s="44" t="str">
        <f>IF(C175="","",VLOOKUP('OPĆI DIO'!$C$1,'OPĆI DIO'!$N$4:$W$137,9,FALSE))</f>
        <v>Sveučilišta i veleučilišta u Republici Hrvatskoj</v>
      </c>
      <c r="C175" s="50">
        <v>11</v>
      </c>
      <c r="D175" s="45" t="str">
        <f t="shared" si="29"/>
        <v>Opći prihodi i primici</v>
      </c>
      <c r="E175" s="50">
        <v>3236</v>
      </c>
      <c r="F175" s="45" t="str">
        <f t="shared" si="30"/>
        <v>Zdravstvene i veterinarske usluge</v>
      </c>
      <c r="G175" s="82" t="s">
        <v>60</v>
      </c>
      <c r="H175" s="45" t="str">
        <f t="shared" si="31"/>
        <v>REDOVNA DJELATNOST SVEUČILIŠTA U OSIJEKU</v>
      </c>
      <c r="I175" s="45" t="str">
        <f t="shared" si="32"/>
        <v>0942</v>
      </c>
      <c r="J175" s="224">
        <v>4424</v>
      </c>
      <c r="K175" s="224">
        <v>4446</v>
      </c>
      <c r="L175" s="224">
        <v>4468</v>
      </c>
      <c r="M175" s="49"/>
      <c r="N175" s="246" t="str">
        <f>IF(C175="","",'OPĆI DIO'!$C$1)</f>
        <v>2452 SVEUČILIŠTE J. J. STROSSMAYERA U OSIJEKU</v>
      </c>
      <c r="O175" s="40" t="str">
        <f t="shared" si="33"/>
        <v>323</v>
      </c>
      <c r="P175" s="40" t="str">
        <f t="shared" si="34"/>
        <v>32</v>
      </c>
      <c r="Q175" s="40" t="str">
        <f t="shared" si="35"/>
        <v>11</v>
      </c>
      <c r="R175" s="40" t="str">
        <f t="shared" si="36"/>
        <v>94</v>
      </c>
      <c r="S175" s="40" t="str">
        <f t="shared" si="37"/>
        <v>3</v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>08006</v>
      </c>
      <c r="B176" s="44" t="str">
        <f>IF(C176="","",VLOOKUP('OPĆI DIO'!$C$1,'OPĆI DIO'!$N$4:$W$137,9,FALSE))</f>
        <v>Sveučilišta i veleučilišta u Republici Hrvatskoj</v>
      </c>
      <c r="C176" s="50">
        <v>11</v>
      </c>
      <c r="D176" s="45" t="str">
        <f t="shared" si="29"/>
        <v>Opći prihodi i primici</v>
      </c>
      <c r="E176" s="50">
        <v>3237</v>
      </c>
      <c r="F176" s="45" t="str">
        <f t="shared" si="30"/>
        <v>Intelektualne i osobne usluge</v>
      </c>
      <c r="G176" s="82" t="s">
        <v>667</v>
      </c>
      <c r="H176" s="45" t="str">
        <f t="shared" si="31"/>
        <v>PROGRAMI VJEŽBAONICA VISOKIH UČILIŠTA</v>
      </c>
      <c r="I176" s="45" t="str">
        <f t="shared" si="32"/>
        <v>0942</v>
      </c>
      <c r="J176" s="224">
        <v>1494</v>
      </c>
      <c r="K176" s="224">
        <v>1494</v>
      </c>
      <c r="L176" s="224">
        <v>1494</v>
      </c>
      <c r="M176" s="49"/>
      <c r="N176" s="246" t="str">
        <f>IF(C176="","",'OPĆI DIO'!$C$1)</f>
        <v>2452 SVEUČILIŠTE J. J. STROSSMAYERA U OSIJEKU</v>
      </c>
      <c r="O176" s="40" t="str">
        <f t="shared" si="33"/>
        <v>323</v>
      </c>
      <c r="P176" s="40" t="str">
        <f t="shared" si="34"/>
        <v>32</v>
      </c>
      <c r="Q176" s="40" t="str">
        <f t="shared" si="35"/>
        <v>11</v>
      </c>
      <c r="R176" s="40" t="str">
        <f t="shared" si="36"/>
        <v>94</v>
      </c>
      <c r="S176" s="40" t="str">
        <f t="shared" si="37"/>
        <v>3</v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>08006</v>
      </c>
      <c r="B177" s="44" t="str">
        <f>IF(C177="","",VLOOKUP('OPĆI DIO'!$C$1,'OPĆI DIO'!$N$4:$W$137,9,FALSE))</f>
        <v>Sveučilišta i veleučilišta u Republici Hrvatskoj</v>
      </c>
      <c r="C177" s="50">
        <v>11</v>
      </c>
      <c r="D177" s="45" t="str">
        <f t="shared" si="29"/>
        <v>Opći prihodi i primici</v>
      </c>
      <c r="E177" s="50">
        <v>3211</v>
      </c>
      <c r="F177" s="45" t="str">
        <f t="shared" si="30"/>
        <v>Službena putovanja</v>
      </c>
      <c r="G177" s="82" t="s">
        <v>665</v>
      </c>
      <c r="H177" s="45" t="str">
        <f t="shared" si="31"/>
        <v>PROGRAMSKO FINANCIRANJE JAVNIH VISOKIH UČILIŠTA</v>
      </c>
      <c r="I177" s="45" t="str">
        <f t="shared" si="32"/>
        <v>0942</v>
      </c>
      <c r="J177" s="224">
        <v>8000</v>
      </c>
      <c r="K177" s="224">
        <v>8000</v>
      </c>
      <c r="L177" s="224">
        <v>8000</v>
      </c>
      <c r="M177" s="49"/>
      <c r="N177" s="246" t="str">
        <f>IF(C177="","",'OPĆI DIO'!$C$1)</f>
        <v>2452 SVEUČILIŠTE J. J. STROSSMAYERA U OSIJEKU</v>
      </c>
      <c r="O177" s="40" t="str">
        <f t="shared" si="33"/>
        <v>321</v>
      </c>
      <c r="P177" s="40" t="str">
        <f t="shared" si="34"/>
        <v>32</v>
      </c>
      <c r="Q177" s="40" t="str">
        <f t="shared" si="35"/>
        <v>11</v>
      </c>
      <c r="R177" s="40" t="str">
        <f t="shared" si="36"/>
        <v>94</v>
      </c>
      <c r="S177" s="40" t="str">
        <f t="shared" si="37"/>
        <v>3</v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>08006</v>
      </c>
      <c r="B178" s="44" t="str">
        <f>IF(C178="","",VLOOKUP('OPĆI DIO'!$C$1,'OPĆI DIO'!$N$4:$W$137,9,FALSE))</f>
        <v>Sveučilišta i veleučilišta u Republici Hrvatskoj</v>
      </c>
      <c r="C178" s="50">
        <v>11</v>
      </c>
      <c r="D178" s="45" t="str">
        <f t="shared" si="29"/>
        <v>Opći prihodi i primici</v>
      </c>
      <c r="E178" s="50">
        <v>3213</v>
      </c>
      <c r="F178" s="45" t="str">
        <f t="shared" si="30"/>
        <v>Stručno usavršavanje zaposlenika</v>
      </c>
      <c r="G178" s="82" t="s">
        <v>665</v>
      </c>
      <c r="H178" s="45" t="str">
        <f t="shared" si="31"/>
        <v>PROGRAMSKO FINANCIRANJE JAVNIH VISOKIH UČILIŠTA</v>
      </c>
      <c r="I178" s="45" t="str">
        <f t="shared" si="32"/>
        <v>0942</v>
      </c>
      <c r="J178" s="224">
        <v>3000</v>
      </c>
      <c r="K178" s="224">
        <v>3000</v>
      </c>
      <c r="L178" s="224">
        <v>3000</v>
      </c>
      <c r="M178" s="49"/>
      <c r="N178" s="246" t="str">
        <f>IF(C178="","",'OPĆI DIO'!$C$1)</f>
        <v>2452 SVEUČILIŠTE J. J. STROSSMAYERA U OSIJEKU</v>
      </c>
      <c r="O178" s="40" t="str">
        <f t="shared" si="33"/>
        <v>321</v>
      </c>
      <c r="P178" s="40" t="str">
        <f t="shared" si="34"/>
        <v>32</v>
      </c>
      <c r="Q178" s="40" t="str">
        <f t="shared" si="35"/>
        <v>11</v>
      </c>
      <c r="R178" s="40" t="str">
        <f t="shared" si="36"/>
        <v>94</v>
      </c>
      <c r="S178" s="40" t="str">
        <f t="shared" si="37"/>
        <v>3</v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>08006</v>
      </c>
      <c r="B179" s="44" t="str">
        <f>IF(C179="","",VLOOKUP('OPĆI DIO'!$C$1,'OPĆI DIO'!$N$4:$W$137,9,FALSE))</f>
        <v>Sveučilišta i veleučilišta u Republici Hrvatskoj</v>
      </c>
      <c r="C179" s="50">
        <v>11</v>
      </c>
      <c r="D179" s="45" t="str">
        <f t="shared" si="29"/>
        <v>Opći prihodi i primici</v>
      </c>
      <c r="E179" s="50">
        <v>3221</v>
      </c>
      <c r="F179" s="45" t="str">
        <f t="shared" si="30"/>
        <v>Uredski materijal i ostali materijalni rashodi</v>
      </c>
      <c r="G179" s="82" t="s">
        <v>665</v>
      </c>
      <c r="H179" s="45" t="str">
        <f t="shared" si="31"/>
        <v>PROGRAMSKO FINANCIRANJE JAVNIH VISOKIH UČILIŠTA</v>
      </c>
      <c r="I179" s="45" t="str">
        <f t="shared" si="32"/>
        <v>0942</v>
      </c>
      <c r="J179" s="224">
        <v>25877</v>
      </c>
      <c r="K179" s="224">
        <v>25877</v>
      </c>
      <c r="L179" s="224">
        <v>25877</v>
      </c>
      <c r="M179" s="49"/>
      <c r="N179" s="246" t="str">
        <f>IF(C179="","",'OPĆI DIO'!$C$1)</f>
        <v>2452 SVEUČILIŠTE J. J. STROSSMAYERA U OSIJEKU</v>
      </c>
      <c r="O179" s="40" t="str">
        <f t="shared" si="33"/>
        <v>322</v>
      </c>
      <c r="P179" s="40" t="str">
        <f t="shared" si="34"/>
        <v>32</v>
      </c>
      <c r="Q179" s="40" t="str">
        <f t="shared" si="35"/>
        <v>11</v>
      </c>
      <c r="R179" s="40" t="str">
        <f t="shared" si="36"/>
        <v>94</v>
      </c>
      <c r="S179" s="40" t="str">
        <f t="shared" si="37"/>
        <v>3</v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>08006</v>
      </c>
      <c r="B180" s="44" t="str">
        <f>IF(C180="","",VLOOKUP('OPĆI DIO'!$C$1,'OPĆI DIO'!$N$4:$W$137,9,FALSE))</f>
        <v>Sveučilišta i veleučilišta u Republici Hrvatskoj</v>
      </c>
      <c r="C180" s="50">
        <v>11</v>
      </c>
      <c r="D180" s="45" t="str">
        <f t="shared" si="29"/>
        <v>Opći prihodi i primici</v>
      </c>
      <c r="E180" s="50">
        <v>3223</v>
      </c>
      <c r="F180" s="45" t="str">
        <f t="shared" si="30"/>
        <v>Energija</v>
      </c>
      <c r="G180" s="82" t="s">
        <v>665</v>
      </c>
      <c r="H180" s="45" t="str">
        <f t="shared" si="31"/>
        <v>PROGRAMSKO FINANCIRANJE JAVNIH VISOKIH UČILIŠTA</v>
      </c>
      <c r="I180" s="45" t="str">
        <f t="shared" si="32"/>
        <v>0942</v>
      </c>
      <c r="J180" s="224">
        <v>11000</v>
      </c>
      <c r="K180" s="224">
        <v>11000</v>
      </c>
      <c r="L180" s="224">
        <v>11000</v>
      </c>
      <c r="M180" s="49"/>
      <c r="N180" s="246" t="str">
        <f>IF(C180="","",'OPĆI DIO'!$C$1)</f>
        <v>2452 SVEUČILIŠTE J. J. STROSSMAYERA U OSIJEKU</v>
      </c>
      <c r="O180" s="40" t="str">
        <f t="shared" si="33"/>
        <v>322</v>
      </c>
      <c r="P180" s="40" t="str">
        <f t="shared" si="34"/>
        <v>32</v>
      </c>
      <c r="Q180" s="40" t="str">
        <f t="shared" si="35"/>
        <v>11</v>
      </c>
      <c r="R180" s="40" t="str">
        <f t="shared" si="36"/>
        <v>94</v>
      </c>
      <c r="S180" s="40" t="str">
        <f t="shared" si="37"/>
        <v>3</v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>08006</v>
      </c>
      <c r="B181" s="44" t="str">
        <f>IF(C181="","",VLOOKUP('OPĆI DIO'!$C$1,'OPĆI DIO'!$N$4:$W$137,9,FALSE))</f>
        <v>Sveučilišta i veleučilišta u Republici Hrvatskoj</v>
      </c>
      <c r="C181" s="50">
        <v>11</v>
      </c>
      <c r="D181" s="45" t="str">
        <f t="shared" si="29"/>
        <v>Opći prihodi i primici</v>
      </c>
      <c r="E181" s="50">
        <v>3224</v>
      </c>
      <c r="F181" s="45" t="str">
        <f t="shared" si="30"/>
        <v>Materijal i dijelovi za tekuće i investicijsko održavanje</v>
      </c>
      <c r="G181" s="82" t="s">
        <v>665</v>
      </c>
      <c r="H181" s="45" t="str">
        <f t="shared" si="31"/>
        <v>PROGRAMSKO FINANCIRANJE JAVNIH VISOKIH UČILIŠTA</v>
      </c>
      <c r="I181" s="45" t="str">
        <f t="shared" si="32"/>
        <v>0942</v>
      </c>
      <c r="J181" s="224">
        <v>2000</v>
      </c>
      <c r="K181" s="224">
        <v>2000</v>
      </c>
      <c r="L181" s="224">
        <v>2000</v>
      </c>
      <c r="M181" s="49"/>
      <c r="N181" s="246" t="str">
        <f>IF(C181="","",'OPĆI DIO'!$C$1)</f>
        <v>2452 SVEUČILIŠTE J. J. STROSSMAYERA U OSIJEKU</v>
      </c>
      <c r="O181" s="40" t="str">
        <f t="shared" si="33"/>
        <v>322</v>
      </c>
      <c r="P181" s="40" t="str">
        <f t="shared" si="34"/>
        <v>32</v>
      </c>
      <c r="Q181" s="40" t="str">
        <f t="shared" si="35"/>
        <v>11</v>
      </c>
      <c r="R181" s="40" t="str">
        <f t="shared" si="36"/>
        <v>94</v>
      </c>
      <c r="S181" s="40" t="str">
        <f t="shared" si="37"/>
        <v>3</v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>08006</v>
      </c>
      <c r="B182" s="44" t="str">
        <f>IF(C182="","",VLOOKUP('OPĆI DIO'!$C$1,'OPĆI DIO'!$N$4:$W$137,9,FALSE))</f>
        <v>Sveučilišta i veleučilišta u Republici Hrvatskoj</v>
      </c>
      <c r="C182" s="50">
        <v>11</v>
      </c>
      <c r="D182" s="45" t="str">
        <f t="shared" si="29"/>
        <v>Opći prihodi i primici</v>
      </c>
      <c r="E182" s="50">
        <v>3225</v>
      </c>
      <c r="F182" s="45" t="str">
        <f t="shared" si="30"/>
        <v>Sitni inventar i auto gume</v>
      </c>
      <c r="G182" s="82" t="s">
        <v>665</v>
      </c>
      <c r="H182" s="45" t="str">
        <f t="shared" si="31"/>
        <v>PROGRAMSKO FINANCIRANJE JAVNIH VISOKIH UČILIŠTA</v>
      </c>
      <c r="I182" s="45" t="str">
        <f t="shared" si="32"/>
        <v>0942</v>
      </c>
      <c r="J182" s="224">
        <v>1000</v>
      </c>
      <c r="K182" s="224">
        <v>1000</v>
      </c>
      <c r="L182" s="224">
        <v>1000</v>
      </c>
      <c r="M182" s="49"/>
      <c r="N182" s="246" t="str">
        <f>IF(C182="","",'OPĆI DIO'!$C$1)</f>
        <v>2452 SVEUČILIŠTE J. J. STROSSMAYERA U OSIJEKU</v>
      </c>
      <c r="O182" s="40" t="str">
        <f t="shared" si="33"/>
        <v>322</v>
      </c>
      <c r="P182" s="40" t="str">
        <f t="shared" si="34"/>
        <v>32</v>
      </c>
      <c r="Q182" s="40" t="str">
        <f t="shared" si="35"/>
        <v>11</v>
      </c>
      <c r="R182" s="40" t="str">
        <f t="shared" si="36"/>
        <v>94</v>
      </c>
      <c r="S182" s="40" t="str">
        <f t="shared" si="37"/>
        <v>3</v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>08006</v>
      </c>
      <c r="B183" s="44" t="str">
        <f>IF(C183="","",VLOOKUP('OPĆI DIO'!$C$1,'OPĆI DIO'!$N$4:$W$137,9,FALSE))</f>
        <v>Sveučilišta i veleučilišta u Republici Hrvatskoj</v>
      </c>
      <c r="C183" s="50">
        <v>11</v>
      </c>
      <c r="D183" s="45" t="str">
        <f t="shared" si="29"/>
        <v>Opći prihodi i primici</v>
      </c>
      <c r="E183" s="50">
        <v>3227</v>
      </c>
      <c r="F183" s="45" t="str">
        <f t="shared" si="30"/>
        <v>Službena, radna i zaštitna odjeća i obuća</v>
      </c>
      <c r="G183" s="82" t="s">
        <v>665</v>
      </c>
      <c r="H183" s="45" t="str">
        <f t="shared" si="31"/>
        <v>PROGRAMSKO FINANCIRANJE JAVNIH VISOKIH UČILIŠTA</v>
      </c>
      <c r="I183" s="45" t="str">
        <f t="shared" si="32"/>
        <v>0942</v>
      </c>
      <c r="J183" s="224">
        <v>100</v>
      </c>
      <c r="K183" s="224">
        <v>100</v>
      </c>
      <c r="L183" s="224">
        <v>100</v>
      </c>
      <c r="M183" s="49"/>
      <c r="N183" s="246" t="str">
        <f>IF(C183="","",'OPĆI DIO'!$C$1)</f>
        <v>2452 SVEUČILIŠTE J. J. STROSSMAYERA U OSIJEKU</v>
      </c>
      <c r="O183" s="40" t="str">
        <f t="shared" si="33"/>
        <v>322</v>
      </c>
      <c r="P183" s="40" t="str">
        <f t="shared" si="34"/>
        <v>32</v>
      </c>
      <c r="Q183" s="40" t="str">
        <f t="shared" si="35"/>
        <v>11</v>
      </c>
      <c r="R183" s="40" t="str">
        <f t="shared" si="36"/>
        <v>94</v>
      </c>
      <c r="S183" s="40" t="str">
        <f t="shared" si="37"/>
        <v>3</v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>08006</v>
      </c>
      <c r="B184" s="44" t="str">
        <f>IF(C184="","",VLOOKUP('OPĆI DIO'!$C$1,'OPĆI DIO'!$N$4:$W$137,9,FALSE))</f>
        <v>Sveučilišta i veleučilišta u Republici Hrvatskoj</v>
      </c>
      <c r="C184" s="50">
        <v>11</v>
      </c>
      <c r="D184" s="45" t="str">
        <f t="shared" si="29"/>
        <v>Opći prihodi i primici</v>
      </c>
      <c r="E184" s="50">
        <v>3231</v>
      </c>
      <c r="F184" s="45" t="str">
        <f t="shared" si="30"/>
        <v>Usluge telefona, pošte i prijevoza</v>
      </c>
      <c r="G184" s="82" t="s">
        <v>665</v>
      </c>
      <c r="H184" s="45" t="str">
        <f t="shared" si="31"/>
        <v>PROGRAMSKO FINANCIRANJE JAVNIH VISOKIH UČILIŠTA</v>
      </c>
      <c r="I184" s="45" t="str">
        <f t="shared" si="32"/>
        <v>0942</v>
      </c>
      <c r="J184" s="224">
        <v>1000</v>
      </c>
      <c r="K184" s="224">
        <v>1000</v>
      </c>
      <c r="L184" s="224">
        <v>1000</v>
      </c>
      <c r="M184" s="49"/>
      <c r="N184" s="246" t="str">
        <f>IF(C184="","",'OPĆI DIO'!$C$1)</f>
        <v>2452 SVEUČILIŠTE J. J. STROSSMAYERA U OSIJEKU</v>
      </c>
      <c r="O184" s="40" t="str">
        <f t="shared" si="33"/>
        <v>323</v>
      </c>
      <c r="P184" s="40" t="str">
        <f t="shared" si="34"/>
        <v>32</v>
      </c>
      <c r="Q184" s="40" t="str">
        <f t="shared" si="35"/>
        <v>11</v>
      </c>
      <c r="R184" s="40" t="str">
        <f t="shared" si="36"/>
        <v>94</v>
      </c>
      <c r="S184" s="40" t="str">
        <f t="shared" si="37"/>
        <v>3</v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>08006</v>
      </c>
      <c r="B185" s="44" t="str">
        <f>IF(C185="","",VLOOKUP('OPĆI DIO'!$C$1,'OPĆI DIO'!$N$4:$W$137,9,FALSE))</f>
        <v>Sveučilišta i veleučilišta u Republici Hrvatskoj</v>
      </c>
      <c r="C185" s="50">
        <v>11</v>
      </c>
      <c r="D185" s="45" t="str">
        <f t="shared" si="29"/>
        <v>Opći prihodi i primici</v>
      </c>
      <c r="E185" s="50">
        <v>3232</v>
      </c>
      <c r="F185" s="45" t="str">
        <f t="shared" si="30"/>
        <v>Usluge tekućeg i investicijskog održavanja</v>
      </c>
      <c r="G185" s="82" t="s">
        <v>665</v>
      </c>
      <c r="H185" s="45" t="str">
        <f t="shared" si="31"/>
        <v>PROGRAMSKO FINANCIRANJE JAVNIH VISOKIH UČILIŠTA</v>
      </c>
      <c r="I185" s="45" t="str">
        <f t="shared" si="32"/>
        <v>0942</v>
      </c>
      <c r="J185" s="224">
        <v>1500</v>
      </c>
      <c r="K185" s="224">
        <v>1500</v>
      </c>
      <c r="L185" s="224">
        <v>1500</v>
      </c>
      <c r="M185" s="49"/>
      <c r="N185" s="246" t="str">
        <f>IF(C185="","",'OPĆI DIO'!$C$1)</f>
        <v>2452 SVEUČILIŠTE J. J. STROSSMAYERA U OSIJEKU</v>
      </c>
      <c r="O185" s="40" t="str">
        <f t="shared" si="33"/>
        <v>323</v>
      </c>
      <c r="P185" s="40" t="str">
        <f t="shared" si="34"/>
        <v>32</v>
      </c>
      <c r="Q185" s="40" t="str">
        <f t="shared" si="35"/>
        <v>11</v>
      </c>
      <c r="R185" s="40" t="str">
        <f t="shared" si="36"/>
        <v>94</v>
      </c>
      <c r="S185" s="40" t="str">
        <f t="shared" si="37"/>
        <v>3</v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>08006</v>
      </c>
      <c r="B186" s="44" t="str">
        <f>IF(C186="","",VLOOKUP('OPĆI DIO'!$C$1,'OPĆI DIO'!$N$4:$W$137,9,FALSE))</f>
        <v>Sveučilišta i veleučilišta u Republici Hrvatskoj</v>
      </c>
      <c r="C186" s="50">
        <v>11</v>
      </c>
      <c r="D186" s="45" t="str">
        <f t="shared" si="29"/>
        <v>Opći prihodi i primici</v>
      </c>
      <c r="E186" s="50">
        <v>3234</v>
      </c>
      <c r="F186" s="45" t="str">
        <f t="shared" si="30"/>
        <v>Komunalne usluge</v>
      </c>
      <c r="G186" s="82" t="s">
        <v>665</v>
      </c>
      <c r="H186" s="45" t="str">
        <f t="shared" si="31"/>
        <v>PROGRAMSKO FINANCIRANJE JAVNIH VISOKIH UČILIŠTA</v>
      </c>
      <c r="I186" s="45" t="str">
        <f t="shared" si="32"/>
        <v>0942</v>
      </c>
      <c r="J186" s="224">
        <v>1000</v>
      </c>
      <c r="K186" s="224">
        <v>1000</v>
      </c>
      <c r="L186" s="224">
        <v>1000</v>
      </c>
      <c r="M186" s="49"/>
      <c r="N186" s="246" t="str">
        <f>IF(C186="","",'OPĆI DIO'!$C$1)</f>
        <v>2452 SVEUČILIŠTE J. J. STROSSMAYERA U OSIJEKU</v>
      </c>
      <c r="O186" s="40" t="str">
        <f t="shared" si="33"/>
        <v>323</v>
      </c>
      <c r="P186" s="40" t="str">
        <f t="shared" si="34"/>
        <v>32</v>
      </c>
      <c r="Q186" s="40" t="str">
        <f t="shared" si="35"/>
        <v>11</v>
      </c>
      <c r="R186" s="40" t="str">
        <f t="shared" si="36"/>
        <v>94</v>
      </c>
      <c r="S186" s="40" t="str">
        <f t="shared" si="37"/>
        <v>3</v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>08006</v>
      </c>
      <c r="B187" s="44" t="str">
        <f>IF(C187="","",VLOOKUP('OPĆI DIO'!$C$1,'OPĆI DIO'!$N$4:$W$137,9,FALSE))</f>
        <v>Sveučilišta i veleučilišta u Republici Hrvatskoj</v>
      </c>
      <c r="C187" s="50">
        <v>11</v>
      </c>
      <c r="D187" s="45" t="str">
        <f t="shared" si="29"/>
        <v>Opći prihodi i primici</v>
      </c>
      <c r="E187" s="50">
        <v>3235</v>
      </c>
      <c r="F187" s="45" t="str">
        <f t="shared" si="30"/>
        <v>Zakupnine i najamnine</v>
      </c>
      <c r="G187" s="82" t="s">
        <v>665</v>
      </c>
      <c r="H187" s="45" t="str">
        <f t="shared" si="31"/>
        <v>PROGRAMSKO FINANCIRANJE JAVNIH VISOKIH UČILIŠTA</v>
      </c>
      <c r="I187" s="45" t="str">
        <f t="shared" si="32"/>
        <v>0942</v>
      </c>
      <c r="J187" s="224">
        <v>4000</v>
      </c>
      <c r="K187" s="224">
        <v>4000</v>
      </c>
      <c r="L187" s="224">
        <v>4000</v>
      </c>
      <c r="M187" s="49"/>
      <c r="N187" s="246" t="str">
        <f>IF(C187="","",'OPĆI DIO'!$C$1)</f>
        <v>2452 SVEUČILIŠTE J. J. STROSSMAYERA U OSIJEKU</v>
      </c>
      <c r="O187" s="40" t="str">
        <f t="shared" si="33"/>
        <v>323</v>
      </c>
      <c r="P187" s="40" t="str">
        <f t="shared" si="34"/>
        <v>32</v>
      </c>
      <c r="Q187" s="40" t="str">
        <f t="shared" si="35"/>
        <v>11</v>
      </c>
      <c r="R187" s="40" t="str">
        <f t="shared" si="36"/>
        <v>94</v>
      </c>
      <c r="S187" s="40" t="str">
        <f t="shared" si="37"/>
        <v>3</v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>08006</v>
      </c>
      <c r="B188" s="44" t="str">
        <f>IF(C188="","",VLOOKUP('OPĆI DIO'!$C$1,'OPĆI DIO'!$N$4:$W$137,9,FALSE))</f>
        <v>Sveučilišta i veleučilišta u Republici Hrvatskoj</v>
      </c>
      <c r="C188" s="50">
        <v>11</v>
      </c>
      <c r="D188" s="45" t="str">
        <f t="shared" si="29"/>
        <v>Opći prihodi i primici</v>
      </c>
      <c r="E188" s="50">
        <v>3236</v>
      </c>
      <c r="F188" s="45" t="str">
        <f t="shared" si="30"/>
        <v>Zdravstvene i veterinarske usluge</v>
      </c>
      <c r="G188" s="82" t="s">
        <v>665</v>
      </c>
      <c r="H188" s="45" t="str">
        <f t="shared" si="31"/>
        <v>PROGRAMSKO FINANCIRANJE JAVNIH VISOKIH UČILIŠTA</v>
      </c>
      <c r="I188" s="45" t="str">
        <f t="shared" si="32"/>
        <v>0942</v>
      </c>
      <c r="J188" s="81">
        <v>1900</v>
      </c>
      <c r="K188" s="81">
        <v>1900</v>
      </c>
      <c r="L188" s="81">
        <v>1900</v>
      </c>
      <c r="M188" s="49"/>
      <c r="N188" s="246" t="str">
        <f>IF(C188="","",'OPĆI DIO'!$C$1)</f>
        <v>2452 SVEUČILIŠTE J. J. STROSSMAYERA U OSIJEKU</v>
      </c>
      <c r="O188" s="40" t="str">
        <f t="shared" si="33"/>
        <v>323</v>
      </c>
      <c r="P188" s="40" t="str">
        <f t="shared" si="34"/>
        <v>32</v>
      </c>
      <c r="Q188" s="40" t="str">
        <f t="shared" si="35"/>
        <v>11</v>
      </c>
      <c r="R188" s="40" t="str">
        <f t="shared" si="36"/>
        <v>94</v>
      </c>
      <c r="S188" s="40" t="str">
        <f t="shared" si="37"/>
        <v>3</v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>08006</v>
      </c>
      <c r="B189" s="44" t="str">
        <f>IF(C189="","",VLOOKUP('OPĆI DIO'!$C$1,'OPĆI DIO'!$N$4:$W$137,9,FALSE))</f>
        <v>Sveučilišta i veleučilišta u Republici Hrvatskoj</v>
      </c>
      <c r="C189" s="50">
        <v>11</v>
      </c>
      <c r="D189" s="45" t="str">
        <f t="shared" si="29"/>
        <v>Opći prihodi i primici</v>
      </c>
      <c r="E189" s="50">
        <v>3237</v>
      </c>
      <c r="F189" s="45" t="str">
        <f t="shared" si="30"/>
        <v>Intelektualne i osobne usluge</v>
      </c>
      <c r="G189" s="82" t="s">
        <v>665</v>
      </c>
      <c r="H189" s="45" t="str">
        <f t="shared" si="31"/>
        <v>PROGRAMSKO FINANCIRANJE JAVNIH VISOKIH UČILIŠTA</v>
      </c>
      <c r="I189" s="45" t="str">
        <f t="shared" si="32"/>
        <v>0942</v>
      </c>
      <c r="J189" s="81">
        <v>52000</v>
      </c>
      <c r="K189" s="81">
        <v>52000</v>
      </c>
      <c r="L189" s="81">
        <v>52000</v>
      </c>
      <c r="M189" s="49"/>
      <c r="N189" s="246" t="str">
        <f>IF(C189="","",'OPĆI DIO'!$C$1)</f>
        <v>2452 SVEUČILIŠTE J. J. STROSSMAYERA U OSIJEKU</v>
      </c>
      <c r="O189" s="40" t="str">
        <f t="shared" si="33"/>
        <v>323</v>
      </c>
      <c r="P189" s="40" t="str">
        <f t="shared" si="34"/>
        <v>32</v>
      </c>
      <c r="Q189" s="40" t="str">
        <f t="shared" si="35"/>
        <v>11</v>
      </c>
      <c r="R189" s="40" t="str">
        <f t="shared" si="36"/>
        <v>94</v>
      </c>
      <c r="S189" s="40" t="str">
        <f t="shared" si="37"/>
        <v>3</v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>08006</v>
      </c>
      <c r="B190" s="44" t="str">
        <f>IF(C190="","",VLOOKUP('OPĆI DIO'!$C$1,'OPĆI DIO'!$N$4:$W$137,9,FALSE))</f>
        <v>Sveučilišta i veleučilišta u Republici Hrvatskoj</v>
      </c>
      <c r="C190" s="50">
        <v>11</v>
      </c>
      <c r="D190" s="45" t="str">
        <f t="shared" si="29"/>
        <v>Opći prihodi i primici</v>
      </c>
      <c r="E190" s="50">
        <v>3238</v>
      </c>
      <c r="F190" s="45" t="str">
        <f t="shared" si="30"/>
        <v>Računalne usluge</v>
      </c>
      <c r="G190" s="82" t="s">
        <v>665</v>
      </c>
      <c r="H190" s="45" t="str">
        <f t="shared" si="31"/>
        <v>PROGRAMSKO FINANCIRANJE JAVNIH VISOKIH UČILIŠTA</v>
      </c>
      <c r="I190" s="45" t="str">
        <f t="shared" si="32"/>
        <v>0942</v>
      </c>
      <c r="J190" s="81">
        <v>1500</v>
      </c>
      <c r="K190" s="81">
        <v>1500</v>
      </c>
      <c r="L190" s="81">
        <v>1500</v>
      </c>
      <c r="M190" s="49"/>
      <c r="N190" s="246" t="str">
        <f>IF(C190="","",'OPĆI DIO'!$C$1)</f>
        <v>2452 SVEUČILIŠTE J. J. STROSSMAYERA U OSIJEKU</v>
      </c>
      <c r="O190" s="40" t="str">
        <f t="shared" si="33"/>
        <v>323</v>
      </c>
      <c r="P190" s="40" t="str">
        <f t="shared" si="34"/>
        <v>32</v>
      </c>
      <c r="Q190" s="40" t="str">
        <f t="shared" si="35"/>
        <v>11</v>
      </c>
      <c r="R190" s="40" t="str">
        <f t="shared" si="36"/>
        <v>94</v>
      </c>
      <c r="S190" s="40" t="str">
        <f t="shared" si="37"/>
        <v>3</v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>08006</v>
      </c>
      <c r="B191" s="44" t="str">
        <f>IF(C191="","",VLOOKUP('OPĆI DIO'!$C$1,'OPĆI DIO'!$N$4:$W$137,9,FALSE))</f>
        <v>Sveučilišta i veleučilišta u Republici Hrvatskoj</v>
      </c>
      <c r="C191" s="50">
        <v>11</v>
      </c>
      <c r="D191" s="45" t="str">
        <f t="shared" si="29"/>
        <v>Opći prihodi i primici</v>
      </c>
      <c r="E191" s="50">
        <v>3239</v>
      </c>
      <c r="F191" s="45" t="str">
        <f t="shared" si="30"/>
        <v>Ostale usluge</v>
      </c>
      <c r="G191" s="82" t="s">
        <v>665</v>
      </c>
      <c r="H191" s="45" t="str">
        <f t="shared" si="31"/>
        <v>PROGRAMSKO FINANCIRANJE JAVNIH VISOKIH UČILIŠTA</v>
      </c>
      <c r="I191" s="45" t="str">
        <f t="shared" si="32"/>
        <v>0942</v>
      </c>
      <c r="J191" s="81">
        <v>3000</v>
      </c>
      <c r="K191" s="81">
        <v>3000</v>
      </c>
      <c r="L191" s="81">
        <v>3000</v>
      </c>
      <c r="M191" s="49"/>
      <c r="N191" s="246" t="str">
        <f>IF(C191="","",'OPĆI DIO'!$C$1)</f>
        <v>2452 SVEUČILIŠTE J. J. STROSSMAYERA U OSIJEKU</v>
      </c>
      <c r="O191" s="40" t="str">
        <f t="shared" si="33"/>
        <v>323</v>
      </c>
      <c r="P191" s="40" t="str">
        <f t="shared" si="34"/>
        <v>32</v>
      </c>
      <c r="Q191" s="40" t="str">
        <f t="shared" si="35"/>
        <v>11</v>
      </c>
      <c r="R191" s="40" t="str">
        <f t="shared" si="36"/>
        <v>94</v>
      </c>
      <c r="S191" s="40" t="str">
        <f t="shared" si="37"/>
        <v>3</v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>08006</v>
      </c>
      <c r="B192" s="44" t="str">
        <f>IF(C192="","",VLOOKUP('OPĆI DIO'!$C$1,'OPĆI DIO'!$N$4:$W$137,9,FALSE))</f>
        <v>Sveučilišta i veleučilišta u Republici Hrvatskoj</v>
      </c>
      <c r="C192" s="50">
        <v>11</v>
      </c>
      <c r="D192" s="45" t="str">
        <f t="shared" si="29"/>
        <v>Opći prihodi i primici</v>
      </c>
      <c r="E192" s="50">
        <v>3241</v>
      </c>
      <c r="F192" s="45" t="str">
        <f t="shared" si="30"/>
        <v>Naknade troškova osobama izvan radnog odnosa</v>
      </c>
      <c r="G192" s="82" t="s">
        <v>665</v>
      </c>
      <c r="H192" s="45" t="str">
        <f t="shared" si="31"/>
        <v>PROGRAMSKO FINANCIRANJE JAVNIH VISOKIH UČILIŠTA</v>
      </c>
      <c r="I192" s="45" t="str">
        <f t="shared" si="32"/>
        <v>0942</v>
      </c>
      <c r="J192" s="81">
        <v>1000</v>
      </c>
      <c r="K192" s="81">
        <v>1000</v>
      </c>
      <c r="L192" s="81">
        <v>1000</v>
      </c>
      <c r="M192" s="49"/>
      <c r="N192" s="246" t="str">
        <f>IF(C192="","",'OPĆI DIO'!$C$1)</f>
        <v>2452 SVEUČILIŠTE J. J. STROSSMAYERA U OSIJEKU</v>
      </c>
      <c r="O192" s="40" t="str">
        <f t="shared" si="33"/>
        <v>324</v>
      </c>
      <c r="P192" s="40" t="str">
        <f t="shared" si="34"/>
        <v>32</v>
      </c>
      <c r="Q192" s="40" t="str">
        <f t="shared" si="35"/>
        <v>11</v>
      </c>
      <c r="R192" s="40" t="str">
        <f t="shared" si="36"/>
        <v>94</v>
      </c>
      <c r="S192" s="40" t="str">
        <f t="shared" si="37"/>
        <v>3</v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>08006</v>
      </c>
      <c r="B193" s="44" t="str">
        <f>IF(C193="","",VLOOKUP('OPĆI DIO'!$C$1,'OPĆI DIO'!$N$4:$W$137,9,FALSE))</f>
        <v>Sveučilišta i veleučilišta u Republici Hrvatskoj</v>
      </c>
      <c r="C193" s="50">
        <v>11</v>
      </c>
      <c r="D193" s="45" t="str">
        <f t="shared" si="29"/>
        <v>Opći prihodi i primici</v>
      </c>
      <c r="E193" s="50">
        <v>3294</v>
      </c>
      <c r="F193" s="45" t="str">
        <f t="shared" si="30"/>
        <v>Članarine i norme</v>
      </c>
      <c r="G193" s="82" t="s">
        <v>665</v>
      </c>
      <c r="H193" s="45" t="str">
        <f t="shared" si="31"/>
        <v>PROGRAMSKO FINANCIRANJE JAVNIH VISOKIH UČILIŠTA</v>
      </c>
      <c r="I193" s="45" t="str">
        <f t="shared" si="32"/>
        <v>0942</v>
      </c>
      <c r="J193" s="81">
        <v>1100</v>
      </c>
      <c r="K193" s="81">
        <v>1100</v>
      </c>
      <c r="L193" s="81">
        <v>1100</v>
      </c>
      <c r="M193" s="49"/>
      <c r="N193" s="246" t="str">
        <f>IF(C193="","",'OPĆI DIO'!$C$1)</f>
        <v>2452 SVEUČILIŠTE J. J. STROSSMAYERA U OSIJEKU</v>
      </c>
      <c r="O193" s="40" t="str">
        <f t="shared" si="33"/>
        <v>329</v>
      </c>
      <c r="P193" s="40" t="str">
        <f t="shared" si="34"/>
        <v>32</v>
      </c>
      <c r="Q193" s="40" t="str">
        <f t="shared" si="35"/>
        <v>11</v>
      </c>
      <c r="R193" s="40" t="str">
        <f t="shared" si="36"/>
        <v>94</v>
      </c>
      <c r="S193" s="40" t="str">
        <f t="shared" si="37"/>
        <v>3</v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>08006</v>
      </c>
      <c r="B194" s="44" t="str">
        <f>IF(C194="","",VLOOKUP('OPĆI DIO'!$C$1,'OPĆI DIO'!$N$4:$W$137,9,FALSE))</f>
        <v>Sveučilišta i veleučilišta u Republici Hrvatskoj</v>
      </c>
      <c r="C194" s="50">
        <v>11</v>
      </c>
      <c r="D194" s="45" t="str">
        <f t="shared" si="29"/>
        <v>Opći prihodi i primici</v>
      </c>
      <c r="E194" s="50">
        <v>3299</v>
      </c>
      <c r="F194" s="45" t="str">
        <f t="shared" si="30"/>
        <v>Ostali nespomenuti rashodi poslovanja</v>
      </c>
      <c r="G194" s="82" t="s">
        <v>665</v>
      </c>
      <c r="H194" s="45" t="str">
        <f t="shared" si="31"/>
        <v>PROGRAMSKO FINANCIRANJE JAVNIH VISOKIH UČILIŠTA</v>
      </c>
      <c r="I194" s="45" t="str">
        <f t="shared" si="32"/>
        <v>0942</v>
      </c>
      <c r="J194" s="81">
        <v>100</v>
      </c>
      <c r="K194" s="81">
        <v>100</v>
      </c>
      <c r="L194" s="81">
        <v>100</v>
      </c>
      <c r="M194" s="49"/>
      <c r="N194" s="246" t="str">
        <f>IF(C194="","",'OPĆI DIO'!$C$1)</f>
        <v>2452 SVEUČILIŠTE J. J. STROSSMAYERA U OSIJEKU</v>
      </c>
      <c r="O194" s="40" t="str">
        <f t="shared" si="33"/>
        <v>329</v>
      </c>
      <c r="P194" s="40" t="str">
        <f t="shared" si="34"/>
        <v>32</v>
      </c>
      <c r="Q194" s="40" t="str">
        <f t="shared" si="35"/>
        <v>11</v>
      </c>
      <c r="R194" s="40" t="str">
        <f t="shared" si="36"/>
        <v>94</v>
      </c>
      <c r="S194" s="40" t="str">
        <f t="shared" si="37"/>
        <v>3</v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>08006</v>
      </c>
      <c r="B195" s="44" t="str">
        <f>IF(C195="","",VLOOKUP('OPĆI DIO'!$C$1,'OPĆI DIO'!$N$4:$W$137,9,FALSE))</f>
        <v>Sveučilišta i veleučilišta u Republici Hrvatskoj</v>
      </c>
      <c r="C195" s="50">
        <v>11</v>
      </c>
      <c r="D195" s="45" t="str">
        <f t="shared" ref="D195:D258" si="38">IFERROR(VLOOKUP(C195,$T$6:$U$24,2,FALSE),"")</f>
        <v>Opći prihodi i primici</v>
      </c>
      <c r="E195" s="50">
        <v>3431</v>
      </c>
      <c r="F195" s="45" t="str">
        <f t="shared" si="30"/>
        <v>Bankarske usluge i usluge platnog prometa</v>
      </c>
      <c r="G195" s="82" t="s">
        <v>665</v>
      </c>
      <c r="H195" s="45" t="str">
        <f t="shared" si="31"/>
        <v>PROGRAMSKO FINANCIRANJE JAVNIH VISOKIH UČILIŠTA</v>
      </c>
      <c r="I195" s="45" t="str">
        <f t="shared" si="32"/>
        <v>0942</v>
      </c>
      <c r="J195" s="81">
        <v>200</v>
      </c>
      <c r="K195" s="81">
        <v>200</v>
      </c>
      <c r="L195" s="81">
        <v>200</v>
      </c>
      <c r="M195" s="49"/>
      <c r="N195" s="246" t="str">
        <f>IF(C195="","",'OPĆI DIO'!$C$1)</f>
        <v>2452 SVEUČILIŠTE J. J. STROSSMAYERA U OSIJEKU</v>
      </c>
      <c r="O195" s="40" t="str">
        <f t="shared" si="33"/>
        <v>343</v>
      </c>
      <c r="P195" s="40" t="str">
        <f t="shared" si="34"/>
        <v>34</v>
      </c>
      <c r="Q195" s="40" t="str">
        <f t="shared" si="35"/>
        <v>11</v>
      </c>
      <c r="R195" s="40" t="str">
        <f t="shared" si="36"/>
        <v>94</v>
      </c>
      <c r="S195" s="40" t="str">
        <f t="shared" si="37"/>
        <v>3</v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>08006</v>
      </c>
      <c r="B196" s="44" t="str">
        <f>IF(C196="","",VLOOKUP('OPĆI DIO'!$C$1,'OPĆI DIO'!$N$4:$W$137,9,FALSE))</f>
        <v>Sveučilišta i veleučilišta u Republici Hrvatskoj</v>
      </c>
      <c r="C196" s="50">
        <v>11</v>
      </c>
      <c r="D196" s="45" t="str">
        <f t="shared" si="38"/>
        <v>Opći prihodi i primici</v>
      </c>
      <c r="E196" s="50">
        <v>4221</v>
      </c>
      <c r="F196" s="45" t="str">
        <f t="shared" ref="F196:F259" si="39">IFERROR(VLOOKUP(E196,$W$5:$Y$129,2,FALSE),"")</f>
        <v>Uredska oprema i namještaj</v>
      </c>
      <c r="G196" s="82" t="s">
        <v>665</v>
      </c>
      <c r="H196" s="45" t="str">
        <f t="shared" ref="H196:H259" si="40">IFERROR(VLOOKUP(G196,$AC$6:$AD$344,2,FALSE),"")</f>
        <v>PROGRAMSKO FINANCIRANJE JAVNIH VISOKIH UČILIŠTA</v>
      </c>
      <c r="I196" s="45" t="str">
        <f t="shared" ref="I196:I259" si="41">IFERROR(VLOOKUP(G196,$AC$6:$AG$344,3,FALSE),"")</f>
        <v>0942</v>
      </c>
      <c r="J196" s="81">
        <v>11000</v>
      </c>
      <c r="K196" s="81">
        <v>11000</v>
      </c>
      <c r="L196" s="81">
        <v>11000</v>
      </c>
      <c r="M196" s="49"/>
      <c r="N196" s="246" t="str">
        <f>IF(C196="","",'OPĆI DIO'!$C$1)</f>
        <v>2452 SVEUČILIŠTE J. J. STROSSMAYERA U OSIJEKU</v>
      </c>
      <c r="O196" s="40" t="str">
        <f t="shared" ref="O196:O259" si="42">LEFT(E196,3)</f>
        <v>422</v>
      </c>
      <c r="P196" s="40" t="str">
        <f t="shared" ref="P196:P259" si="43">LEFT(E196,2)</f>
        <v>42</v>
      </c>
      <c r="Q196" s="40" t="str">
        <f t="shared" ref="Q196:Q259" si="44">LEFT(C196,3)</f>
        <v>11</v>
      </c>
      <c r="R196" s="40" t="str">
        <f t="shared" ref="R196:R259" si="45">MID(I196,2,2)</f>
        <v>94</v>
      </c>
      <c r="S196" s="40" t="str">
        <f t="shared" ref="S196:S259" si="46">LEFT(E196,1)</f>
        <v>4</v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>08006</v>
      </c>
      <c r="B197" s="44" t="str">
        <f>IF(C197="","",VLOOKUP('OPĆI DIO'!$C$1,'OPĆI DIO'!$N$4:$W$137,9,FALSE))</f>
        <v>Sveučilišta i veleučilišta u Republici Hrvatskoj</v>
      </c>
      <c r="C197" s="50">
        <v>11</v>
      </c>
      <c r="D197" s="45" t="str">
        <f t="shared" si="38"/>
        <v>Opći prihodi i primici</v>
      </c>
      <c r="E197" s="50">
        <v>4224</v>
      </c>
      <c r="F197" s="45" t="str">
        <f t="shared" si="39"/>
        <v>Medicinska i laboratorijska oprema</v>
      </c>
      <c r="G197" s="82" t="s">
        <v>665</v>
      </c>
      <c r="H197" s="45" t="str">
        <f t="shared" si="40"/>
        <v>PROGRAMSKO FINANCIRANJE JAVNIH VISOKIH UČILIŠTA</v>
      </c>
      <c r="I197" s="45" t="str">
        <f t="shared" si="41"/>
        <v>0942</v>
      </c>
      <c r="J197" s="81">
        <v>3000</v>
      </c>
      <c r="K197" s="81">
        <v>3000</v>
      </c>
      <c r="L197" s="81">
        <v>3000</v>
      </c>
      <c r="M197" s="49"/>
      <c r="N197" s="246" t="str">
        <f>IF(C197="","",'OPĆI DIO'!$C$1)</f>
        <v>2452 SVEUČILIŠTE J. J. STROSSMAYERA U OSIJEKU</v>
      </c>
      <c r="O197" s="40" t="str">
        <f t="shared" si="42"/>
        <v>422</v>
      </c>
      <c r="P197" s="40" t="str">
        <f t="shared" si="43"/>
        <v>42</v>
      </c>
      <c r="Q197" s="40" t="str">
        <f t="shared" si="44"/>
        <v>11</v>
      </c>
      <c r="R197" s="40" t="str">
        <f t="shared" si="45"/>
        <v>94</v>
      </c>
      <c r="S197" s="40" t="str">
        <f t="shared" si="46"/>
        <v>4</v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>08006</v>
      </c>
      <c r="B198" s="44" t="str">
        <f>IF(C198="","",VLOOKUP('OPĆI DIO'!$C$1,'OPĆI DIO'!$N$4:$W$137,9,FALSE))</f>
        <v>Sveučilišta i veleučilišta u Republici Hrvatskoj</v>
      </c>
      <c r="C198" s="50">
        <v>11</v>
      </c>
      <c r="D198" s="45" t="str">
        <f t="shared" si="38"/>
        <v>Opći prihodi i primici</v>
      </c>
      <c r="E198" s="50">
        <v>4227</v>
      </c>
      <c r="F198" s="45" t="str">
        <f t="shared" si="39"/>
        <v>Uređaji, strojevi i oprema za ostale namjene</v>
      </c>
      <c r="G198" s="82" t="s">
        <v>665</v>
      </c>
      <c r="H198" s="45" t="str">
        <f t="shared" si="40"/>
        <v>PROGRAMSKO FINANCIRANJE JAVNIH VISOKIH UČILIŠTA</v>
      </c>
      <c r="I198" s="45" t="str">
        <f t="shared" si="41"/>
        <v>0942</v>
      </c>
      <c r="J198" s="81">
        <v>2200</v>
      </c>
      <c r="K198" s="81">
        <v>2200</v>
      </c>
      <c r="L198" s="81">
        <v>2200</v>
      </c>
      <c r="M198" s="49"/>
      <c r="N198" s="246" t="str">
        <f>IF(C198="","",'OPĆI DIO'!$C$1)</f>
        <v>2452 SVEUČILIŠTE J. J. STROSSMAYERA U OSIJEKU</v>
      </c>
      <c r="O198" s="40" t="str">
        <f t="shared" si="42"/>
        <v>422</v>
      </c>
      <c r="P198" s="40" t="str">
        <f t="shared" si="43"/>
        <v>42</v>
      </c>
      <c r="Q198" s="40" t="str">
        <f t="shared" si="44"/>
        <v>11</v>
      </c>
      <c r="R198" s="40" t="str">
        <f t="shared" si="45"/>
        <v>94</v>
      </c>
      <c r="S198" s="40" t="str">
        <f t="shared" si="46"/>
        <v>4</v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>08006</v>
      </c>
      <c r="B199" s="44" t="str">
        <f>IF(C199="","",VLOOKUP('OPĆI DIO'!$C$1,'OPĆI DIO'!$N$4:$W$137,9,FALSE))</f>
        <v>Sveučilišta i veleučilišta u Republici Hrvatskoj</v>
      </c>
      <c r="C199" s="50">
        <v>11</v>
      </c>
      <c r="D199" s="45" t="str">
        <f t="shared" si="38"/>
        <v>Opći prihodi i primici</v>
      </c>
      <c r="E199" s="50">
        <v>4241</v>
      </c>
      <c r="F199" s="45" t="str">
        <f t="shared" si="39"/>
        <v>Knjige</v>
      </c>
      <c r="G199" s="82" t="s">
        <v>665</v>
      </c>
      <c r="H199" s="45" t="str">
        <f t="shared" si="40"/>
        <v>PROGRAMSKO FINANCIRANJE JAVNIH VISOKIH UČILIŠTA</v>
      </c>
      <c r="I199" s="45" t="str">
        <f t="shared" si="41"/>
        <v>0942</v>
      </c>
      <c r="J199" s="81">
        <v>1000</v>
      </c>
      <c r="K199" s="81">
        <v>1000</v>
      </c>
      <c r="L199" s="81">
        <v>1000</v>
      </c>
      <c r="M199" s="49"/>
      <c r="N199" s="246" t="str">
        <f>IF(C199="","",'OPĆI DIO'!$C$1)</f>
        <v>2452 SVEUČILIŠTE J. J. STROSSMAYERA U OSIJEKU</v>
      </c>
      <c r="O199" s="40" t="str">
        <f t="shared" si="42"/>
        <v>424</v>
      </c>
      <c r="P199" s="40" t="str">
        <f t="shared" si="43"/>
        <v>42</v>
      </c>
      <c r="Q199" s="40" t="str">
        <f t="shared" si="44"/>
        <v>11</v>
      </c>
      <c r="R199" s="40" t="str">
        <f t="shared" si="45"/>
        <v>94</v>
      </c>
      <c r="S199" s="40" t="str">
        <f t="shared" si="46"/>
        <v>4</v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>08006</v>
      </c>
      <c r="B200" s="44" t="str">
        <f>IF(C200="","",VLOOKUP('OPĆI DIO'!$C$1,'OPĆI DIO'!$N$4:$W$137,9,FALSE))</f>
        <v>Sveučilišta i veleučilišta u Republici Hrvatskoj</v>
      </c>
      <c r="C200" s="50">
        <v>31</v>
      </c>
      <c r="D200" s="45" t="str">
        <f t="shared" si="38"/>
        <v>Vlastiti prihodi</v>
      </c>
      <c r="E200" s="50">
        <v>3111</v>
      </c>
      <c r="F200" s="45" t="str">
        <f t="shared" si="39"/>
        <v>Plaće za redovan rad</v>
      </c>
      <c r="G200" s="82" t="s">
        <v>176</v>
      </c>
      <c r="H200" s="45" t="str">
        <f t="shared" si="40"/>
        <v>REDOVNA DJELATNOST SVEUČILIŠTA U OSIJEKU (IZ EVIDENCIJSKIH PRIHODA)</v>
      </c>
      <c r="I200" s="45" t="str">
        <f t="shared" si="41"/>
        <v>0942</v>
      </c>
      <c r="J200" s="81">
        <v>50000</v>
      </c>
      <c r="K200" s="81">
        <v>51000</v>
      </c>
      <c r="L200" s="81">
        <v>52000</v>
      </c>
      <c r="M200" s="49"/>
      <c r="N200" s="246" t="str">
        <f>IF(C200="","",'OPĆI DIO'!$C$1)</f>
        <v>2452 SVEUČILIŠTE J. J. STROSSMAYERA U OSIJEKU</v>
      </c>
      <c r="O200" s="40" t="str">
        <f t="shared" si="42"/>
        <v>311</v>
      </c>
      <c r="P200" s="40" t="str">
        <f t="shared" si="43"/>
        <v>31</v>
      </c>
      <c r="Q200" s="40" t="str">
        <f t="shared" si="44"/>
        <v>31</v>
      </c>
      <c r="R200" s="40" t="str">
        <f t="shared" si="45"/>
        <v>94</v>
      </c>
      <c r="S200" s="40" t="str">
        <f t="shared" si="46"/>
        <v>3</v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>08006</v>
      </c>
      <c r="B201" s="44" t="str">
        <f>IF(C201="","",VLOOKUP('OPĆI DIO'!$C$1,'OPĆI DIO'!$N$4:$W$137,9,FALSE))</f>
        <v>Sveučilišta i veleučilišta u Republici Hrvatskoj</v>
      </c>
      <c r="C201" s="50">
        <v>31</v>
      </c>
      <c r="D201" s="45" t="str">
        <f t="shared" si="38"/>
        <v>Vlastiti prihodi</v>
      </c>
      <c r="E201" s="50">
        <v>3121</v>
      </c>
      <c r="F201" s="45" t="str">
        <f t="shared" si="39"/>
        <v>Ostali rashodi za zaposlene</v>
      </c>
      <c r="G201" s="82" t="s">
        <v>176</v>
      </c>
      <c r="H201" s="45" t="str">
        <f t="shared" si="40"/>
        <v>REDOVNA DJELATNOST SVEUČILIŠTA U OSIJEKU (IZ EVIDENCIJSKIH PRIHODA)</v>
      </c>
      <c r="I201" s="45" t="str">
        <f t="shared" si="41"/>
        <v>0942</v>
      </c>
      <c r="J201" s="81">
        <v>28000</v>
      </c>
      <c r="K201" s="81">
        <v>29000</v>
      </c>
      <c r="L201" s="81">
        <v>30000</v>
      </c>
      <c r="M201" s="49"/>
      <c r="N201" s="246" t="str">
        <f>IF(C201="","",'OPĆI DIO'!$C$1)</f>
        <v>2452 SVEUČILIŠTE J. J. STROSSMAYERA U OSIJEKU</v>
      </c>
      <c r="O201" s="40" t="str">
        <f t="shared" si="42"/>
        <v>312</v>
      </c>
      <c r="P201" s="40" t="str">
        <f t="shared" si="43"/>
        <v>31</v>
      </c>
      <c r="Q201" s="40" t="str">
        <f t="shared" si="44"/>
        <v>31</v>
      </c>
      <c r="R201" s="40" t="str">
        <f t="shared" si="45"/>
        <v>94</v>
      </c>
      <c r="S201" s="40" t="str">
        <f t="shared" si="46"/>
        <v>3</v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>08006</v>
      </c>
      <c r="B202" s="44" t="str">
        <f>IF(C202="","",VLOOKUP('OPĆI DIO'!$C$1,'OPĆI DIO'!$N$4:$W$137,9,FALSE))</f>
        <v>Sveučilišta i veleučilišta u Republici Hrvatskoj</v>
      </c>
      <c r="C202" s="50">
        <v>31</v>
      </c>
      <c r="D202" s="45" t="str">
        <f t="shared" si="38"/>
        <v>Vlastiti prihodi</v>
      </c>
      <c r="E202" s="50">
        <v>3132</v>
      </c>
      <c r="F202" s="45" t="str">
        <f t="shared" si="39"/>
        <v>Doprinosi za obvezno zdravstveno osiguranje</v>
      </c>
      <c r="G202" s="82" t="s">
        <v>176</v>
      </c>
      <c r="H202" s="45" t="str">
        <f t="shared" si="40"/>
        <v>REDOVNA DJELATNOST SVEUČILIŠTA U OSIJEKU (IZ EVIDENCIJSKIH PRIHODA)</v>
      </c>
      <c r="I202" s="45" t="str">
        <f t="shared" si="41"/>
        <v>0942</v>
      </c>
      <c r="J202" s="81">
        <v>9000</v>
      </c>
      <c r="K202" s="81">
        <v>9200</v>
      </c>
      <c r="L202" s="81">
        <v>9500</v>
      </c>
      <c r="M202" s="49"/>
      <c r="N202" s="246" t="str">
        <f>IF(C202="","",'OPĆI DIO'!$C$1)</f>
        <v>2452 SVEUČILIŠTE J. J. STROSSMAYERA U OSIJEKU</v>
      </c>
      <c r="O202" s="40" t="str">
        <f t="shared" si="42"/>
        <v>313</v>
      </c>
      <c r="P202" s="40" t="str">
        <f t="shared" si="43"/>
        <v>31</v>
      </c>
      <c r="Q202" s="40" t="str">
        <f t="shared" si="44"/>
        <v>31</v>
      </c>
      <c r="R202" s="40" t="str">
        <f t="shared" si="45"/>
        <v>94</v>
      </c>
      <c r="S202" s="40" t="str">
        <f t="shared" si="46"/>
        <v>3</v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>08006</v>
      </c>
      <c r="B203" s="44" t="str">
        <f>IF(C203="","",VLOOKUP('OPĆI DIO'!$C$1,'OPĆI DIO'!$N$4:$W$137,9,FALSE))</f>
        <v>Sveučilišta i veleučilišta u Republici Hrvatskoj</v>
      </c>
      <c r="C203" s="50">
        <v>31</v>
      </c>
      <c r="D203" s="45" t="str">
        <f t="shared" si="38"/>
        <v>Vlastiti prihodi</v>
      </c>
      <c r="E203" s="50">
        <v>3211</v>
      </c>
      <c r="F203" s="45" t="str">
        <f t="shared" si="39"/>
        <v>Službena putovanja</v>
      </c>
      <c r="G203" s="82" t="s">
        <v>176</v>
      </c>
      <c r="H203" s="45" t="str">
        <f t="shared" si="40"/>
        <v>REDOVNA DJELATNOST SVEUČILIŠTA U OSIJEKU (IZ EVIDENCIJSKIH PRIHODA)</v>
      </c>
      <c r="I203" s="45" t="str">
        <f t="shared" si="41"/>
        <v>0942</v>
      </c>
      <c r="J203" s="81">
        <v>29000</v>
      </c>
      <c r="K203" s="81">
        <v>30000</v>
      </c>
      <c r="L203" s="81">
        <v>31000</v>
      </c>
      <c r="M203" s="49"/>
      <c r="N203" s="246" t="str">
        <f>IF(C203="","",'OPĆI DIO'!$C$1)</f>
        <v>2452 SVEUČILIŠTE J. J. STROSSMAYERA U OSIJEKU</v>
      </c>
      <c r="O203" s="40" t="str">
        <f t="shared" si="42"/>
        <v>321</v>
      </c>
      <c r="P203" s="40" t="str">
        <f t="shared" si="43"/>
        <v>32</v>
      </c>
      <c r="Q203" s="40" t="str">
        <f t="shared" si="44"/>
        <v>31</v>
      </c>
      <c r="R203" s="40" t="str">
        <f t="shared" si="45"/>
        <v>94</v>
      </c>
      <c r="S203" s="40" t="str">
        <f t="shared" si="46"/>
        <v>3</v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>08006</v>
      </c>
      <c r="B204" s="44" t="str">
        <f>IF(C204="","",VLOOKUP('OPĆI DIO'!$C$1,'OPĆI DIO'!$N$4:$W$137,9,FALSE))</f>
        <v>Sveučilišta i veleučilišta u Republici Hrvatskoj</v>
      </c>
      <c r="C204" s="50">
        <v>31</v>
      </c>
      <c r="D204" s="45" t="str">
        <f t="shared" si="38"/>
        <v>Vlastiti prihodi</v>
      </c>
      <c r="E204" s="50">
        <v>3212</v>
      </c>
      <c r="F204" s="45" t="str">
        <f t="shared" si="39"/>
        <v>Naknade za prijevoz, za rad na terenu i odvojeni život</v>
      </c>
      <c r="G204" s="82" t="s">
        <v>176</v>
      </c>
      <c r="H204" s="45" t="str">
        <f t="shared" si="40"/>
        <v>REDOVNA DJELATNOST SVEUČILIŠTA U OSIJEKU (IZ EVIDENCIJSKIH PRIHODA)</v>
      </c>
      <c r="I204" s="45" t="str">
        <f t="shared" si="41"/>
        <v>0942</v>
      </c>
      <c r="J204" s="81">
        <v>2000</v>
      </c>
      <c r="K204" s="81">
        <v>2200</v>
      </c>
      <c r="L204" s="81">
        <v>2500</v>
      </c>
      <c r="M204" s="49"/>
      <c r="N204" s="246" t="str">
        <f>IF(C204="","",'OPĆI DIO'!$C$1)</f>
        <v>2452 SVEUČILIŠTE J. J. STROSSMAYERA U OSIJEKU</v>
      </c>
      <c r="O204" s="40" t="str">
        <f t="shared" si="42"/>
        <v>321</v>
      </c>
      <c r="P204" s="40" t="str">
        <f t="shared" si="43"/>
        <v>32</v>
      </c>
      <c r="Q204" s="40" t="str">
        <f t="shared" si="44"/>
        <v>31</v>
      </c>
      <c r="R204" s="40" t="str">
        <f t="shared" si="45"/>
        <v>94</v>
      </c>
      <c r="S204" s="40" t="str">
        <f t="shared" si="46"/>
        <v>3</v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>08006</v>
      </c>
      <c r="B205" s="44" t="str">
        <f>IF(C205="","",VLOOKUP('OPĆI DIO'!$C$1,'OPĆI DIO'!$N$4:$W$137,9,FALSE))</f>
        <v>Sveučilišta i veleučilišta u Republici Hrvatskoj</v>
      </c>
      <c r="C205" s="50">
        <v>31</v>
      </c>
      <c r="D205" s="45" t="str">
        <f t="shared" si="38"/>
        <v>Vlastiti prihodi</v>
      </c>
      <c r="E205" s="50">
        <v>3213</v>
      </c>
      <c r="F205" s="45" t="str">
        <f t="shared" si="39"/>
        <v>Stručno usavršavanje zaposlenika</v>
      </c>
      <c r="G205" s="82" t="s">
        <v>176</v>
      </c>
      <c r="H205" s="45" t="str">
        <f t="shared" si="40"/>
        <v>REDOVNA DJELATNOST SVEUČILIŠTA U OSIJEKU (IZ EVIDENCIJSKIH PRIHODA)</v>
      </c>
      <c r="I205" s="45" t="str">
        <f t="shared" si="41"/>
        <v>0942</v>
      </c>
      <c r="J205" s="81">
        <v>3000</v>
      </c>
      <c r="K205" s="81">
        <v>3000</v>
      </c>
      <c r="L205" s="81">
        <v>3000</v>
      </c>
      <c r="M205" s="49"/>
      <c r="N205" s="246" t="str">
        <f>IF(C205="","",'OPĆI DIO'!$C$1)</f>
        <v>2452 SVEUČILIŠTE J. J. STROSSMAYERA U OSIJEKU</v>
      </c>
      <c r="O205" s="40" t="str">
        <f t="shared" si="42"/>
        <v>321</v>
      </c>
      <c r="P205" s="40" t="str">
        <f t="shared" si="43"/>
        <v>32</v>
      </c>
      <c r="Q205" s="40" t="str">
        <f t="shared" si="44"/>
        <v>31</v>
      </c>
      <c r="R205" s="40" t="str">
        <f t="shared" si="45"/>
        <v>94</v>
      </c>
      <c r="S205" s="40" t="str">
        <f t="shared" si="46"/>
        <v>3</v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>08006</v>
      </c>
      <c r="B206" s="44" t="str">
        <f>IF(C206="","",VLOOKUP('OPĆI DIO'!$C$1,'OPĆI DIO'!$N$4:$W$137,9,FALSE))</f>
        <v>Sveučilišta i veleučilišta u Republici Hrvatskoj</v>
      </c>
      <c r="C206" s="50">
        <v>31</v>
      </c>
      <c r="D206" s="45" t="str">
        <f t="shared" si="38"/>
        <v>Vlastiti prihodi</v>
      </c>
      <c r="E206" s="50">
        <v>3221</v>
      </c>
      <c r="F206" s="45" t="str">
        <f t="shared" si="39"/>
        <v>Uredski materijal i ostali materijalni rashodi</v>
      </c>
      <c r="G206" s="82" t="s">
        <v>176</v>
      </c>
      <c r="H206" s="45" t="str">
        <f t="shared" si="40"/>
        <v>REDOVNA DJELATNOST SVEUČILIŠTA U OSIJEKU (IZ EVIDENCIJSKIH PRIHODA)</v>
      </c>
      <c r="I206" s="45" t="str">
        <f t="shared" si="41"/>
        <v>0942</v>
      </c>
      <c r="J206" s="81">
        <v>3200</v>
      </c>
      <c r="K206" s="81">
        <v>3500</v>
      </c>
      <c r="L206" s="81">
        <v>3500</v>
      </c>
      <c r="M206" s="49"/>
      <c r="N206" s="246" t="str">
        <f>IF(C206="","",'OPĆI DIO'!$C$1)</f>
        <v>2452 SVEUČILIŠTE J. J. STROSSMAYERA U OSIJEKU</v>
      </c>
      <c r="O206" s="40" t="str">
        <f t="shared" si="42"/>
        <v>322</v>
      </c>
      <c r="P206" s="40" t="str">
        <f t="shared" si="43"/>
        <v>32</v>
      </c>
      <c r="Q206" s="40" t="str">
        <f t="shared" si="44"/>
        <v>31</v>
      </c>
      <c r="R206" s="40" t="str">
        <f t="shared" si="45"/>
        <v>94</v>
      </c>
      <c r="S206" s="40" t="str">
        <f t="shared" si="46"/>
        <v>3</v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>08006</v>
      </c>
      <c r="B207" s="44" t="str">
        <f>IF(C207="","",VLOOKUP('OPĆI DIO'!$C$1,'OPĆI DIO'!$N$4:$W$137,9,FALSE))</f>
        <v>Sveučilišta i veleučilišta u Republici Hrvatskoj</v>
      </c>
      <c r="C207" s="50">
        <v>31</v>
      </c>
      <c r="D207" s="45" t="str">
        <f t="shared" si="38"/>
        <v>Vlastiti prihodi</v>
      </c>
      <c r="E207" s="50">
        <v>3223</v>
      </c>
      <c r="F207" s="45" t="str">
        <f t="shared" si="39"/>
        <v>Energija</v>
      </c>
      <c r="G207" s="82" t="s">
        <v>176</v>
      </c>
      <c r="H207" s="45" t="str">
        <f t="shared" si="40"/>
        <v>REDOVNA DJELATNOST SVEUČILIŠTA U OSIJEKU (IZ EVIDENCIJSKIH PRIHODA)</v>
      </c>
      <c r="I207" s="45" t="str">
        <f t="shared" si="41"/>
        <v>0942</v>
      </c>
      <c r="J207" s="81">
        <v>2500</v>
      </c>
      <c r="K207" s="81">
        <v>2500</v>
      </c>
      <c r="L207" s="81">
        <v>2500</v>
      </c>
      <c r="M207" s="49"/>
      <c r="N207" s="246" t="str">
        <f>IF(C207="","",'OPĆI DIO'!$C$1)</f>
        <v>2452 SVEUČILIŠTE J. J. STROSSMAYERA U OSIJEKU</v>
      </c>
      <c r="O207" s="40" t="str">
        <f t="shared" si="42"/>
        <v>322</v>
      </c>
      <c r="P207" s="40" t="str">
        <f t="shared" si="43"/>
        <v>32</v>
      </c>
      <c r="Q207" s="40" t="str">
        <f t="shared" si="44"/>
        <v>31</v>
      </c>
      <c r="R207" s="40" t="str">
        <f t="shared" si="45"/>
        <v>94</v>
      </c>
      <c r="S207" s="40" t="str">
        <f t="shared" si="46"/>
        <v>3</v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>08006</v>
      </c>
      <c r="B208" s="44" t="str">
        <f>IF(C208="","",VLOOKUP('OPĆI DIO'!$C$1,'OPĆI DIO'!$N$4:$W$137,9,FALSE))</f>
        <v>Sveučilišta i veleučilišta u Republici Hrvatskoj</v>
      </c>
      <c r="C208" s="50">
        <v>31</v>
      </c>
      <c r="D208" s="45" t="str">
        <f t="shared" si="38"/>
        <v>Vlastiti prihodi</v>
      </c>
      <c r="E208" s="50">
        <v>3224</v>
      </c>
      <c r="F208" s="45" t="str">
        <f t="shared" si="39"/>
        <v>Materijal i dijelovi za tekuće i investicijsko održavanje</v>
      </c>
      <c r="G208" s="82" t="s">
        <v>176</v>
      </c>
      <c r="H208" s="45" t="str">
        <f t="shared" si="40"/>
        <v>REDOVNA DJELATNOST SVEUČILIŠTA U OSIJEKU (IZ EVIDENCIJSKIH PRIHODA)</v>
      </c>
      <c r="I208" s="45" t="str">
        <f t="shared" si="41"/>
        <v>0942</v>
      </c>
      <c r="J208" s="81">
        <v>700</v>
      </c>
      <c r="K208" s="81">
        <v>800</v>
      </c>
      <c r="L208" s="81">
        <v>900</v>
      </c>
      <c r="M208" s="49"/>
      <c r="N208" s="246" t="str">
        <f>IF(C208="","",'OPĆI DIO'!$C$1)</f>
        <v>2452 SVEUČILIŠTE J. J. STROSSMAYERA U OSIJEKU</v>
      </c>
      <c r="O208" s="40" t="str">
        <f t="shared" si="42"/>
        <v>322</v>
      </c>
      <c r="P208" s="40" t="str">
        <f t="shared" si="43"/>
        <v>32</v>
      </c>
      <c r="Q208" s="40" t="str">
        <f t="shared" si="44"/>
        <v>31</v>
      </c>
      <c r="R208" s="40" t="str">
        <f t="shared" si="45"/>
        <v>94</v>
      </c>
      <c r="S208" s="40" t="str">
        <f t="shared" si="46"/>
        <v>3</v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>08006</v>
      </c>
      <c r="B209" s="44" t="str">
        <f>IF(C209="","",VLOOKUP('OPĆI DIO'!$C$1,'OPĆI DIO'!$N$4:$W$137,9,FALSE))</f>
        <v>Sveučilišta i veleučilišta u Republici Hrvatskoj</v>
      </c>
      <c r="C209" s="50">
        <v>31</v>
      </c>
      <c r="D209" s="45" t="str">
        <f t="shared" si="38"/>
        <v>Vlastiti prihodi</v>
      </c>
      <c r="E209" s="50">
        <v>3225</v>
      </c>
      <c r="F209" s="45" t="str">
        <f t="shared" si="39"/>
        <v>Sitni inventar i auto gume</v>
      </c>
      <c r="G209" s="82" t="s">
        <v>176</v>
      </c>
      <c r="H209" s="45" t="str">
        <f t="shared" si="40"/>
        <v>REDOVNA DJELATNOST SVEUČILIŠTA U OSIJEKU (IZ EVIDENCIJSKIH PRIHODA)</v>
      </c>
      <c r="I209" s="45" t="str">
        <f t="shared" si="41"/>
        <v>0942</v>
      </c>
      <c r="J209" s="81">
        <v>50</v>
      </c>
      <c r="K209" s="81">
        <v>60</v>
      </c>
      <c r="L209" s="81">
        <v>70</v>
      </c>
      <c r="M209" s="49"/>
      <c r="N209" s="246" t="str">
        <f>IF(C209="","",'OPĆI DIO'!$C$1)</f>
        <v>2452 SVEUČILIŠTE J. J. STROSSMAYERA U OSIJEKU</v>
      </c>
      <c r="O209" s="40" t="str">
        <f t="shared" si="42"/>
        <v>322</v>
      </c>
      <c r="P209" s="40" t="str">
        <f t="shared" si="43"/>
        <v>32</v>
      </c>
      <c r="Q209" s="40" t="str">
        <f t="shared" si="44"/>
        <v>31</v>
      </c>
      <c r="R209" s="40" t="str">
        <f t="shared" si="45"/>
        <v>94</v>
      </c>
      <c r="S209" s="40" t="str">
        <f t="shared" si="46"/>
        <v>3</v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>08006</v>
      </c>
      <c r="B210" s="44" t="str">
        <f>IF(C210="","",VLOOKUP('OPĆI DIO'!$C$1,'OPĆI DIO'!$N$4:$W$137,9,FALSE))</f>
        <v>Sveučilišta i veleučilišta u Republici Hrvatskoj</v>
      </c>
      <c r="C210" s="50">
        <v>31</v>
      </c>
      <c r="D210" s="45" t="str">
        <f t="shared" si="38"/>
        <v>Vlastiti prihodi</v>
      </c>
      <c r="E210" s="50">
        <v>3227</v>
      </c>
      <c r="F210" s="45" t="str">
        <f t="shared" si="39"/>
        <v>Službena, radna i zaštitna odjeća i obuća</v>
      </c>
      <c r="G210" s="82" t="s">
        <v>176</v>
      </c>
      <c r="H210" s="45" t="str">
        <f t="shared" si="40"/>
        <v>REDOVNA DJELATNOST SVEUČILIŠTA U OSIJEKU (IZ EVIDENCIJSKIH PRIHODA)</v>
      </c>
      <c r="I210" s="45" t="str">
        <f t="shared" si="41"/>
        <v>0942</v>
      </c>
      <c r="J210" s="81">
        <v>600</v>
      </c>
      <c r="K210" s="81">
        <v>600</v>
      </c>
      <c r="L210" s="81">
        <v>600</v>
      </c>
      <c r="M210" s="49"/>
      <c r="N210" s="246" t="str">
        <f>IF(C210="","",'OPĆI DIO'!$C$1)</f>
        <v>2452 SVEUČILIŠTE J. J. STROSSMAYERA U OSIJEKU</v>
      </c>
      <c r="O210" s="40" t="str">
        <f t="shared" si="42"/>
        <v>322</v>
      </c>
      <c r="P210" s="40" t="str">
        <f t="shared" si="43"/>
        <v>32</v>
      </c>
      <c r="Q210" s="40" t="str">
        <f t="shared" si="44"/>
        <v>31</v>
      </c>
      <c r="R210" s="40" t="str">
        <f t="shared" si="45"/>
        <v>94</v>
      </c>
      <c r="S210" s="40" t="str">
        <f t="shared" si="46"/>
        <v>3</v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>08006</v>
      </c>
      <c r="B211" s="44" t="str">
        <f>IF(C211="","",VLOOKUP('OPĆI DIO'!$C$1,'OPĆI DIO'!$N$4:$W$137,9,FALSE))</f>
        <v>Sveučilišta i veleučilišta u Republici Hrvatskoj</v>
      </c>
      <c r="C211" s="50">
        <v>31</v>
      </c>
      <c r="D211" s="45" t="str">
        <f t="shared" si="38"/>
        <v>Vlastiti prihodi</v>
      </c>
      <c r="E211" s="50">
        <v>3232</v>
      </c>
      <c r="F211" s="45" t="str">
        <f t="shared" si="39"/>
        <v>Usluge tekućeg i investicijskog održavanja</v>
      </c>
      <c r="G211" s="82" t="s">
        <v>176</v>
      </c>
      <c r="H211" s="45" t="str">
        <f t="shared" si="40"/>
        <v>REDOVNA DJELATNOST SVEUČILIŠTA U OSIJEKU (IZ EVIDENCIJSKIH PRIHODA)</v>
      </c>
      <c r="I211" s="45" t="str">
        <f t="shared" si="41"/>
        <v>0942</v>
      </c>
      <c r="J211" s="81">
        <v>300</v>
      </c>
      <c r="K211" s="81">
        <v>320</v>
      </c>
      <c r="L211" s="81">
        <v>350</v>
      </c>
      <c r="M211" s="49"/>
      <c r="N211" s="246" t="str">
        <f>IF(C211="","",'OPĆI DIO'!$C$1)</f>
        <v>2452 SVEUČILIŠTE J. J. STROSSMAYERA U OSIJEKU</v>
      </c>
      <c r="O211" s="40" t="str">
        <f t="shared" si="42"/>
        <v>323</v>
      </c>
      <c r="P211" s="40" t="str">
        <f t="shared" si="43"/>
        <v>32</v>
      </c>
      <c r="Q211" s="40" t="str">
        <f t="shared" si="44"/>
        <v>31</v>
      </c>
      <c r="R211" s="40" t="str">
        <f t="shared" si="45"/>
        <v>94</v>
      </c>
      <c r="S211" s="40" t="str">
        <f t="shared" si="46"/>
        <v>3</v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>08006</v>
      </c>
      <c r="B212" s="44" t="str">
        <f>IF(C212="","",VLOOKUP('OPĆI DIO'!$C$1,'OPĆI DIO'!$N$4:$W$137,9,FALSE))</f>
        <v>Sveučilišta i veleučilišta u Republici Hrvatskoj</v>
      </c>
      <c r="C212" s="50">
        <v>31</v>
      </c>
      <c r="D212" s="45" t="str">
        <f t="shared" si="38"/>
        <v>Vlastiti prihodi</v>
      </c>
      <c r="E212" s="50">
        <v>3233</v>
      </c>
      <c r="F212" s="45" t="str">
        <f t="shared" si="39"/>
        <v>Usluge promidžbe i informiranja</v>
      </c>
      <c r="G212" s="82" t="s">
        <v>176</v>
      </c>
      <c r="H212" s="45" t="str">
        <f t="shared" si="40"/>
        <v>REDOVNA DJELATNOST SVEUČILIŠTA U OSIJEKU (IZ EVIDENCIJSKIH PRIHODA)</v>
      </c>
      <c r="I212" s="45" t="str">
        <f t="shared" si="41"/>
        <v>0942</v>
      </c>
      <c r="J212" s="81">
        <v>3000</v>
      </c>
      <c r="K212" s="81">
        <v>3000</v>
      </c>
      <c r="L212" s="81">
        <v>3000</v>
      </c>
      <c r="M212" s="49"/>
      <c r="N212" s="246" t="str">
        <f>IF(C212="","",'OPĆI DIO'!$C$1)</f>
        <v>2452 SVEUČILIŠTE J. J. STROSSMAYERA U OSIJEKU</v>
      </c>
      <c r="O212" s="40" t="str">
        <f t="shared" si="42"/>
        <v>323</v>
      </c>
      <c r="P212" s="40" t="str">
        <f t="shared" si="43"/>
        <v>32</v>
      </c>
      <c r="Q212" s="40" t="str">
        <f t="shared" si="44"/>
        <v>31</v>
      </c>
      <c r="R212" s="40" t="str">
        <f t="shared" si="45"/>
        <v>94</v>
      </c>
      <c r="S212" s="40" t="str">
        <f t="shared" si="46"/>
        <v>3</v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>08006</v>
      </c>
      <c r="B213" s="44" t="str">
        <f>IF(C213="","",VLOOKUP('OPĆI DIO'!$C$1,'OPĆI DIO'!$N$4:$W$137,9,FALSE))</f>
        <v>Sveučilišta i veleučilišta u Republici Hrvatskoj</v>
      </c>
      <c r="C213" s="50">
        <v>31</v>
      </c>
      <c r="D213" s="45" t="str">
        <f t="shared" si="38"/>
        <v>Vlastiti prihodi</v>
      </c>
      <c r="E213" s="50">
        <v>3234</v>
      </c>
      <c r="F213" s="45" t="str">
        <f t="shared" si="39"/>
        <v>Komunalne usluge</v>
      </c>
      <c r="G213" s="82" t="s">
        <v>176</v>
      </c>
      <c r="H213" s="45" t="str">
        <f t="shared" si="40"/>
        <v>REDOVNA DJELATNOST SVEUČILIŠTA U OSIJEKU (IZ EVIDENCIJSKIH PRIHODA)</v>
      </c>
      <c r="I213" s="45" t="str">
        <f t="shared" si="41"/>
        <v>0942</v>
      </c>
      <c r="J213" s="81">
        <v>300</v>
      </c>
      <c r="K213" s="81">
        <v>300</v>
      </c>
      <c r="L213" s="81">
        <v>300</v>
      </c>
      <c r="M213" s="49"/>
      <c r="N213" s="246" t="str">
        <f>IF(C213="","",'OPĆI DIO'!$C$1)</f>
        <v>2452 SVEUČILIŠTE J. J. STROSSMAYERA U OSIJEKU</v>
      </c>
      <c r="O213" s="40" t="str">
        <f t="shared" si="42"/>
        <v>323</v>
      </c>
      <c r="P213" s="40" t="str">
        <f t="shared" si="43"/>
        <v>32</v>
      </c>
      <c r="Q213" s="40" t="str">
        <f t="shared" si="44"/>
        <v>31</v>
      </c>
      <c r="R213" s="40" t="str">
        <f t="shared" si="45"/>
        <v>94</v>
      </c>
      <c r="S213" s="40" t="str">
        <f t="shared" si="46"/>
        <v>3</v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>08006</v>
      </c>
      <c r="B214" s="44" t="str">
        <f>IF(C214="","",VLOOKUP('OPĆI DIO'!$C$1,'OPĆI DIO'!$N$4:$W$137,9,FALSE))</f>
        <v>Sveučilišta i veleučilišta u Republici Hrvatskoj</v>
      </c>
      <c r="C214" s="50">
        <v>31</v>
      </c>
      <c r="D214" s="45" t="str">
        <f t="shared" si="38"/>
        <v>Vlastiti prihodi</v>
      </c>
      <c r="E214" s="50">
        <v>3235</v>
      </c>
      <c r="F214" s="45" t="str">
        <f t="shared" si="39"/>
        <v>Zakupnine i najamnine</v>
      </c>
      <c r="G214" s="82" t="s">
        <v>176</v>
      </c>
      <c r="H214" s="45" t="str">
        <f t="shared" si="40"/>
        <v>REDOVNA DJELATNOST SVEUČILIŠTA U OSIJEKU (IZ EVIDENCIJSKIH PRIHODA)</v>
      </c>
      <c r="I214" s="45" t="str">
        <f t="shared" si="41"/>
        <v>0942</v>
      </c>
      <c r="J214" s="81">
        <v>100</v>
      </c>
      <c r="K214" s="81">
        <v>100</v>
      </c>
      <c r="L214" s="81">
        <v>100</v>
      </c>
      <c r="M214" s="49"/>
      <c r="N214" s="246" t="str">
        <f>IF(C214="","",'OPĆI DIO'!$C$1)</f>
        <v>2452 SVEUČILIŠTE J. J. STROSSMAYERA U OSIJEKU</v>
      </c>
      <c r="O214" s="40" t="str">
        <f t="shared" si="42"/>
        <v>323</v>
      </c>
      <c r="P214" s="40" t="str">
        <f t="shared" si="43"/>
        <v>32</v>
      </c>
      <c r="Q214" s="40" t="str">
        <f t="shared" si="44"/>
        <v>31</v>
      </c>
      <c r="R214" s="40" t="str">
        <f t="shared" si="45"/>
        <v>94</v>
      </c>
      <c r="S214" s="40" t="str">
        <f t="shared" si="46"/>
        <v>3</v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>08006</v>
      </c>
      <c r="B215" s="44" t="str">
        <f>IF(C215="","",VLOOKUP('OPĆI DIO'!$C$1,'OPĆI DIO'!$N$4:$W$137,9,FALSE))</f>
        <v>Sveučilišta i veleučilišta u Republici Hrvatskoj</v>
      </c>
      <c r="C215" s="50">
        <v>31</v>
      </c>
      <c r="D215" s="45" t="str">
        <f t="shared" si="38"/>
        <v>Vlastiti prihodi</v>
      </c>
      <c r="E215" s="50">
        <v>3237</v>
      </c>
      <c r="F215" s="45" t="str">
        <f t="shared" si="39"/>
        <v>Intelektualne i osobne usluge</v>
      </c>
      <c r="G215" s="82" t="s">
        <v>176</v>
      </c>
      <c r="H215" s="45" t="str">
        <f t="shared" si="40"/>
        <v>REDOVNA DJELATNOST SVEUČILIŠTA U OSIJEKU (IZ EVIDENCIJSKIH PRIHODA)</v>
      </c>
      <c r="I215" s="45" t="str">
        <f t="shared" si="41"/>
        <v>0942</v>
      </c>
      <c r="J215" s="81">
        <v>22000</v>
      </c>
      <c r="K215" s="81">
        <v>22000</v>
      </c>
      <c r="L215" s="81">
        <v>22000</v>
      </c>
      <c r="M215" s="49"/>
      <c r="N215" s="246" t="str">
        <f>IF(C215="","",'OPĆI DIO'!$C$1)</f>
        <v>2452 SVEUČILIŠTE J. J. STROSSMAYERA U OSIJEKU</v>
      </c>
      <c r="O215" s="40" t="str">
        <f t="shared" si="42"/>
        <v>323</v>
      </c>
      <c r="P215" s="40" t="str">
        <f t="shared" si="43"/>
        <v>32</v>
      </c>
      <c r="Q215" s="40" t="str">
        <f t="shared" si="44"/>
        <v>31</v>
      </c>
      <c r="R215" s="40" t="str">
        <f t="shared" si="45"/>
        <v>94</v>
      </c>
      <c r="S215" s="40" t="str">
        <f t="shared" si="46"/>
        <v>3</v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>08006</v>
      </c>
      <c r="B216" s="44" t="str">
        <f>IF(C216="","",VLOOKUP('OPĆI DIO'!$C$1,'OPĆI DIO'!$N$4:$W$137,9,FALSE))</f>
        <v>Sveučilišta i veleučilišta u Republici Hrvatskoj</v>
      </c>
      <c r="C216" s="50">
        <v>31</v>
      </c>
      <c r="D216" s="45" t="str">
        <f t="shared" si="38"/>
        <v>Vlastiti prihodi</v>
      </c>
      <c r="E216" s="50">
        <v>3239</v>
      </c>
      <c r="F216" s="45" t="str">
        <f t="shared" si="39"/>
        <v>Ostale usluge</v>
      </c>
      <c r="G216" s="82" t="s">
        <v>176</v>
      </c>
      <c r="H216" s="45" t="str">
        <f t="shared" si="40"/>
        <v>REDOVNA DJELATNOST SVEUČILIŠTA U OSIJEKU (IZ EVIDENCIJSKIH PRIHODA)</v>
      </c>
      <c r="I216" s="45" t="str">
        <f t="shared" si="41"/>
        <v>0942</v>
      </c>
      <c r="J216" s="81">
        <v>2000</v>
      </c>
      <c r="K216" s="81">
        <v>2000</v>
      </c>
      <c r="L216" s="81">
        <v>2000</v>
      </c>
      <c r="M216" s="49"/>
      <c r="N216" s="246" t="str">
        <f>IF(C216="","",'OPĆI DIO'!$C$1)</f>
        <v>2452 SVEUČILIŠTE J. J. STROSSMAYERA U OSIJEKU</v>
      </c>
      <c r="O216" s="40" t="str">
        <f t="shared" si="42"/>
        <v>323</v>
      </c>
      <c r="P216" s="40" t="str">
        <f t="shared" si="43"/>
        <v>32</v>
      </c>
      <c r="Q216" s="40" t="str">
        <f t="shared" si="44"/>
        <v>31</v>
      </c>
      <c r="R216" s="40" t="str">
        <f t="shared" si="45"/>
        <v>94</v>
      </c>
      <c r="S216" s="40" t="str">
        <f t="shared" si="46"/>
        <v>3</v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>08006</v>
      </c>
      <c r="B217" s="44" t="str">
        <f>IF(C217="","",VLOOKUP('OPĆI DIO'!$C$1,'OPĆI DIO'!$N$4:$W$137,9,FALSE))</f>
        <v>Sveučilišta i veleučilišta u Republici Hrvatskoj</v>
      </c>
      <c r="C217" s="50">
        <v>31</v>
      </c>
      <c r="D217" s="45" t="str">
        <f t="shared" si="38"/>
        <v>Vlastiti prihodi</v>
      </c>
      <c r="E217" s="50">
        <v>3241</v>
      </c>
      <c r="F217" s="45" t="str">
        <f t="shared" si="39"/>
        <v>Naknade troškova osobama izvan radnog odnosa</v>
      </c>
      <c r="G217" s="82" t="s">
        <v>176</v>
      </c>
      <c r="H217" s="45" t="str">
        <f t="shared" si="40"/>
        <v>REDOVNA DJELATNOST SVEUČILIŠTA U OSIJEKU (IZ EVIDENCIJSKIH PRIHODA)</v>
      </c>
      <c r="I217" s="45" t="str">
        <f t="shared" si="41"/>
        <v>0942</v>
      </c>
      <c r="J217" s="81">
        <v>1000</v>
      </c>
      <c r="K217" s="81">
        <v>1000</v>
      </c>
      <c r="L217" s="81">
        <v>1000</v>
      </c>
      <c r="M217" s="49"/>
      <c r="N217" s="246" t="str">
        <f>IF(C217="","",'OPĆI DIO'!$C$1)</f>
        <v>2452 SVEUČILIŠTE J. J. STROSSMAYERA U OSIJEKU</v>
      </c>
      <c r="O217" s="40" t="str">
        <f t="shared" si="42"/>
        <v>324</v>
      </c>
      <c r="P217" s="40" t="str">
        <f t="shared" si="43"/>
        <v>32</v>
      </c>
      <c r="Q217" s="40" t="str">
        <f t="shared" si="44"/>
        <v>31</v>
      </c>
      <c r="R217" s="40" t="str">
        <f t="shared" si="45"/>
        <v>94</v>
      </c>
      <c r="S217" s="40" t="str">
        <f t="shared" si="46"/>
        <v>3</v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>08006</v>
      </c>
      <c r="B218" s="44" t="str">
        <f>IF(C218="","",VLOOKUP('OPĆI DIO'!$C$1,'OPĆI DIO'!$N$4:$W$137,9,FALSE))</f>
        <v>Sveučilišta i veleučilišta u Republici Hrvatskoj</v>
      </c>
      <c r="C218" s="50">
        <v>31</v>
      </c>
      <c r="D218" s="45" t="str">
        <f t="shared" si="38"/>
        <v>Vlastiti prihodi</v>
      </c>
      <c r="E218" s="50">
        <v>3292</v>
      </c>
      <c r="F218" s="45" t="str">
        <f t="shared" si="39"/>
        <v>Premije osiguranja</v>
      </c>
      <c r="G218" s="82" t="s">
        <v>176</v>
      </c>
      <c r="H218" s="45" t="str">
        <f t="shared" si="40"/>
        <v>REDOVNA DJELATNOST SVEUČILIŠTA U OSIJEKU (IZ EVIDENCIJSKIH PRIHODA)</v>
      </c>
      <c r="I218" s="45" t="str">
        <f t="shared" si="41"/>
        <v>0942</v>
      </c>
      <c r="J218" s="81">
        <v>500</v>
      </c>
      <c r="K218" s="81">
        <v>500</v>
      </c>
      <c r="L218" s="81">
        <v>500</v>
      </c>
      <c r="M218" s="49"/>
      <c r="N218" s="246" t="str">
        <f>IF(C218="","",'OPĆI DIO'!$C$1)</f>
        <v>2452 SVEUČILIŠTE J. J. STROSSMAYERA U OSIJEKU</v>
      </c>
      <c r="O218" s="40" t="str">
        <f t="shared" si="42"/>
        <v>329</v>
      </c>
      <c r="P218" s="40" t="str">
        <f t="shared" si="43"/>
        <v>32</v>
      </c>
      <c r="Q218" s="40" t="str">
        <f t="shared" si="44"/>
        <v>31</v>
      </c>
      <c r="R218" s="40" t="str">
        <f t="shared" si="45"/>
        <v>94</v>
      </c>
      <c r="S218" s="40" t="str">
        <f t="shared" si="46"/>
        <v>3</v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>08006</v>
      </c>
      <c r="B219" s="44" t="str">
        <f>IF(C219="","",VLOOKUP('OPĆI DIO'!$C$1,'OPĆI DIO'!$N$4:$W$137,9,FALSE))</f>
        <v>Sveučilišta i veleučilišta u Republici Hrvatskoj</v>
      </c>
      <c r="C219" s="50">
        <v>31</v>
      </c>
      <c r="D219" s="45" t="str">
        <f t="shared" si="38"/>
        <v>Vlastiti prihodi</v>
      </c>
      <c r="E219" s="50">
        <v>3293</v>
      </c>
      <c r="F219" s="45" t="str">
        <f t="shared" si="39"/>
        <v>Reprezentacija</v>
      </c>
      <c r="G219" s="82" t="s">
        <v>176</v>
      </c>
      <c r="H219" s="45" t="str">
        <f t="shared" si="40"/>
        <v>REDOVNA DJELATNOST SVEUČILIŠTA U OSIJEKU (IZ EVIDENCIJSKIH PRIHODA)</v>
      </c>
      <c r="I219" s="45" t="str">
        <f t="shared" si="41"/>
        <v>0942</v>
      </c>
      <c r="J219" s="81">
        <v>2000</v>
      </c>
      <c r="K219" s="81">
        <v>2200</v>
      </c>
      <c r="L219" s="81">
        <v>2500</v>
      </c>
      <c r="M219" s="49"/>
      <c r="N219" s="246" t="str">
        <f>IF(C219="","",'OPĆI DIO'!$C$1)</f>
        <v>2452 SVEUČILIŠTE J. J. STROSSMAYERA U OSIJEKU</v>
      </c>
      <c r="O219" s="40" t="str">
        <f t="shared" si="42"/>
        <v>329</v>
      </c>
      <c r="P219" s="40" t="str">
        <f t="shared" si="43"/>
        <v>32</v>
      </c>
      <c r="Q219" s="40" t="str">
        <f t="shared" si="44"/>
        <v>31</v>
      </c>
      <c r="R219" s="40" t="str">
        <f t="shared" si="45"/>
        <v>94</v>
      </c>
      <c r="S219" s="40" t="str">
        <f t="shared" si="46"/>
        <v>3</v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>08006</v>
      </c>
      <c r="B220" s="44" t="str">
        <f>IF(C220="","",VLOOKUP('OPĆI DIO'!$C$1,'OPĆI DIO'!$N$4:$W$137,9,FALSE))</f>
        <v>Sveučilišta i veleučilišta u Republici Hrvatskoj</v>
      </c>
      <c r="C220" s="50">
        <v>31</v>
      </c>
      <c r="D220" s="45" t="str">
        <f t="shared" si="38"/>
        <v>Vlastiti prihodi</v>
      </c>
      <c r="E220" s="50">
        <v>3294</v>
      </c>
      <c r="F220" s="45" t="str">
        <f t="shared" si="39"/>
        <v>Članarine i norme</v>
      </c>
      <c r="G220" s="82" t="s">
        <v>176</v>
      </c>
      <c r="H220" s="45" t="str">
        <f t="shared" si="40"/>
        <v>REDOVNA DJELATNOST SVEUČILIŠTA U OSIJEKU (IZ EVIDENCIJSKIH PRIHODA)</v>
      </c>
      <c r="I220" s="45" t="str">
        <f t="shared" si="41"/>
        <v>0942</v>
      </c>
      <c r="J220" s="81">
        <v>50</v>
      </c>
      <c r="K220" s="81">
        <v>50</v>
      </c>
      <c r="L220" s="81">
        <v>50</v>
      </c>
      <c r="M220" s="49"/>
      <c r="N220" s="246" t="str">
        <f>IF(C220="","",'OPĆI DIO'!$C$1)</f>
        <v>2452 SVEUČILIŠTE J. J. STROSSMAYERA U OSIJEKU</v>
      </c>
      <c r="O220" s="40" t="str">
        <f t="shared" si="42"/>
        <v>329</v>
      </c>
      <c r="P220" s="40" t="str">
        <f t="shared" si="43"/>
        <v>32</v>
      </c>
      <c r="Q220" s="40" t="str">
        <f t="shared" si="44"/>
        <v>31</v>
      </c>
      <c r="R220" s="40" t="str">
        <f t="shared" si="45"/>
        <v>94</v>
      </c>
      <c r="S220" s="40" t="str">
        <f t="shared" si="46"/>
        <v>3</v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>08006</v>
      </c>
      <c r="B221" s="44" t="str">
        <f>IF(C221="","",VLOOKUP('OPĆI DIO'!$C$1,'OPĆI DIO'!$N$4:$W$137,9,FALSE))</f>
        <v>Sveučilišta i veleučilišta u Republici Hrvatskoj</v>
      </c>
      <c r="C221" s="50">
        <v>31</v>
      </c>
      <c r="D221" s="45" t="str">
        <f t="shared" si="38"/>
        <v>Vlastiti prihodi</v>
      </c>
      <c r="E221" s="50">
        <v>3295</v>
      </c>
      <c r="F221" s="45" t="str">
        <f t="shared" si="39"/>
        <v>Pristojbe i naknade</v>
      </c>
      <c r="G221" s="82" t="s">
        <v>176</v>
      </c>
      <c r="H221" s="45" t="str">
        <f t="shared" si="40"/>
        <v>REDOVNA DJELATNOST SVEUČILIŠTA U OSIJEKU (IZ EVIDENCIJSKIH PRIHODA)</v>
      </c>
      <c r="I221" s="45" t="str">
        <f t="shared" si="41"/>
        <v>0942</v>
      </c>
      <c r="J221" s="81">
        <v>200</v>
      </c>
      <c r="K221" s="81">
        <v>200</v>
      </c>
      <c r="L221" s="81">
        <v>200</v>
      </c>
      <c r="M221" s="49"/>
      <c r="N221" s="246" t="str">
        <f>IF(C221="","",'OPĆI DIO'!$C$1)</f>
        <v>2452 SVEUČILIŠTE J. J. STROSSMAYERA U OSIJEKU</v>
      </c>
      <c r="O221" s="40" t="str">
        <f t="shared" si="42"/>
        <v>329</v>
      </c>
      <c r="P221" s="40" t="str">
        <f t="shared" si="43"/>
        <v>32</v>
      </c>
      <c r="Q221" s="40" t="str">
        <f t="shared" si="44"/>
        <v>31</v>
      </c>
      <c r="R221" s="40" t="str">
        <f t="shared" si="45"/>
        <v>94</v>
      </c>
      <c r="S221" s="40" t="str">
        <f t="shared" si="46"/>
        <v>3</v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>08006</v>
      </c>
      <c r="B222" s="44" t="str">
        <f>IF(C222="","",VLOOKUP('OPĆI DIO'!$C$1,'OPĆI DIO'!$N$4:$W$137,9,FALSE))</f>
        <v>Sveučilišta i veleučilišta u Republici Hrvatskoj</v>
      </c>
      <c r="C222" s="50">
        <v>31</v>
      </c>
      <c r="D222" s="45" t="str">
        <f t="shared" si="38"/>
        <v>Vlastiti prihodi</v>
      </c>
      <c r="E222" s="50">
        <v>3299</v>
      </c>
      <c r="F222" s="45" t="str">
        <f t="shared" si="39"/>
        <v>Ostali nespomenuti rashodi poslovanja</v>
      </c>
      <c r="G222" s="82" t="s">
        <v>176</v>
      </c>
      <c r="H222" s="45" t="str">
        <f t="shared" si="40"/>
        <v>REDOVNA DJELATNOST SVEUČILIŠTA U OSIJEKU (IZ EVIDENCIJSKIH PRIHODA)</v>
      </c>
      <c r="I222" s="45" t="str">
        <f t="shared" si="41"/>
        <v>0942</v>
      </c>
      <c r="J222" s="81">
        <v>3000</v>
      </c>
      <c r="K222" s="81">
        <v>3200</v>
      </c>
      <c r="L222" s="81">
        <v>3400</v>
      </c>
      <c r="M222" s="49"/>
      <c r="N222" s="246" t="str">
        <f>IF(C222="","",'OPĆI DIO'!$C$1)</f>
        <v>2452 SVEUČILIŠTE J. J. STROSSMAYERA U OSIJEKU</v>
      </c>
      <c r="O222" s="40" t="str">
        <f t="shared" si="42"/>
        <v>329</v>
      </c>
      <c r="P222" s="40" t="str">
        <f t="shared" si="43"/>
        <v>32</v>
      </c>
      <c r="Q222" s="40" t="str">
        <f t="shared" si="44"/>
        <v>31</v>
      </c>
      <c r="R222" s="40" t="str">
        <f t="shared" si="45"/>
        <v>94</v>
      </c>
      <c r="S222" s="40" t="str">
        <f t="shared" si="46"/>
        <v>3</v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>08006</v>
      </c>
      <c r="B223" s="44" t="str">
        <f>IF(C223="","",VLOOKUP('OPĆI DIO'!$C$1,'OPĆI DIO'!$N$4:$W$137,9,FALSE))</f>
        <v>Sveučilišta i veleučilišta u Republici Hrvatskoj</v>
      </c>
      <c r="C223" s="50">
        <v>31</v>
      </c>
      <c r="D223" s="45" t="str">
        <f t="shared" si="38"/>
        <v>Vlastiti prihodi</v>
      </c>
      <c r="E223" s="50">
        <v>3431</v>
      </c>
      <c r="F223" s="45" t="str">
        <f t="shared" si="39"/>
        <v>Bankarske usluge i usluge platnog prometa</v>
      </c>
      <c r="G223" s="82" t="s">
        <v>176</v>
      </c>
      <c r="H223" s="45" t="str">
        <f t="shared" si="40"/>
        <v>REDOVNA DJELATNOST SVEUČILIŠTA U OSIJEKU (IZ EVIDENCIJSKIH PRIHODA)</v>
      </c>
      <c r="I223" s="45" t="str">
        <f t="shared" si="41"/>
        <v>0942</v>
      </c>
      <c r="J223" s="81">
        <v>50</v>
      </c>
      <c r="K223" s="81">
        <v>50</v>
      </c>
      <c r="L223" s="81">
        <v>50</v>
      </c>
      <c r="M223" s="49"/>
      <c r="N223" s="246" t="str">
        <f>IF(C223="","",'OPĆI DIO'!$C$1)</f>
        <v>2452 SVEUČILIŠTE J. J. STROSSMAYERA U OSIJEKU</v>
      </c>
      <c r="O223" s="40" t="str">
        <f t="shared" si="42"/>
        <v>343</v>
      </c>
      <c r="P223" s="40" t="str">
        <f t="shared" si="43"/>
        <v>34</v>
      </c>
      <c r="Q223" s="40" t="str">
        <f t="shared" si="44"/>
        <v>31</v>
      </c>
      <c r="R223" s="40" t="str">
        <f t="shared" si="45"/>
        <v>94</v>
      </c>
      <c r="S223" s="40" t="str">
        <f t="shared" si="46"/>
        <v>3</v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>08006</v>
      </c>
      <c r="B224" s="44" t="str">
        <f>IF(C224="","",VLOOKUP('OPĆI DIO'!$C$1,'OPĆI DIO'!$N$4:$W$137,9,FALSE))</f>
        <v>Sveučilišta i veleučilišta u Republici Hrvatskoj</v>
      </c>
      <c r="C224" s="50">
        <v>31</v>
      </c>
      <c r="D224" s="45" t="str">
        <f t="shared" si="38"/>
        <v>Vlastiti prihodi</v>
      </c>
      <c r="E224" s="50">
        <v>3721</v>
      </c>
      <c r="F224" s="45" t="str">
        <f t="shared" si="39"/>
        <v>Naknade građanima i kućanstvima u novcu</v>
      </c>
      <c r="G224" s="82" t="s">
        <v>176</v>
      </c>
      <c r="H224" s="45" t="str">
        <f t="shared" si="40"/>
        <v>REDOVNA DJELATNOST SVEUČILIŠTA U OSIJEKU (IZ EVIDENCIJSKIH PRIHODA)</v>
      </c>
      <c r="I224" s="45" t="str">
        <f t="shared" si="41"/>
        <v>0942</v>
      </c>
      <c r="J224" s="81">
        <v>800</v>
      </c>
      <c r="K224" s="81">
        <v>800</v>
      </c>
      <c r="L224" s="81">
        <v>800</v>
      </c>
      <c r="M224" s="49"/>
      <c r="N224" s="246" t="str">
        <f>IF(C224="","",'OPĆI DIO'!$C$1)</f>
        <v>2452 SVEUČILIŠTE J. J. STROSSMAYERA U OSIJEKU</v>
      </c>
      <c r="O224" s="40" t="str">
        <f t="shared" si="42"/>
        <v>372</v>
      </c>
      <c r="P224" s="40" t="str">
        <f t="shared" si="43"/>
        <v>37</v>
      </c>
      <c r="Q224" s="40" t="str">
        <f t="shared" si="44"/>
        <v>31</v>
      </c>
      <c r="R224" s="40" t="str">
        <f t="shared" si="45"/>
        <v>94</v>
      </c>
      <c r="S224" s="40" t="str">
        <f t="shared" si="46"/>
        <v>3</v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>08006</v>
      </c>
      <c r="B225" s="44" t="str">
        <f>IF(C225="","",VLOOKUP('OPĆI DIO'!$C$1,'OPĆI DIO'!$N$4:$W$137,9,FALSE))</f>
        <v>Sveučilišta i veleučilišta u Republici Hrvatskoj</v>
      </c>
      <c r="C225" s="50">
        <v>31</v>
      </c>
      <c r="D225" s="45" t="str">
        <f t="shared" si="38"/>
        <v>Vlastiti prihodi</v>
      </c>
      <c r="E225" s="50">
        <v>4221</v>
      </c>
      <c r="F225" s="45" t="str">
        <f t="shared" si="39"/>
        <v>Uredska oprema i namještaj</v>
      </c>
      <c r="G225" s="82" t="s">
        <v>176</v>
      </c>
      <c r="H225" s="45" t="str">
        <f t="shared" si="40"/>
        <v>REDOVNA DJELATNOST SVEUČILIŠTA U OSIJEKU (IZ EVIDENCIJSKIH PRIHODA)</v>
      </c>
      <c r="I225" s="45" t="str">
        <f t="shared" si="41"/>
        <v>0942</v>
      </c>
      <c r="J225" s="81">
        <v>2200</v>
      </c>
      <c r="K225" s="81">
        <v>2500</v>
      </c>
      <c r="L225" s="81">
        <v>2700</v>
      </c>
      <c r="M225" s="49"/>
      <c r="N225" s="246" t="str">
        <f>IF(C225="","",'OPĆI DIO'!$C$1)</f>
        <v>2452 SVEUČILIŠTE J. J. STROSSMAYERA U OSIJEKU</v>
      </c>
      <c r="O225" s="40" t="str">
        <f t="shared" si="42"/>
        <v>422</v>
      </c>
      <c r="P225" s="40" t="str">
        <f t="shared" si="43"/>
        <v>42</v>
      </c>
      <c r="Q225" s="40" t="str">
        <f t="shared" si="44"/>
        <v>31</v>
      </c>
      <c r="R225" s="40" t="str">
        <f t="shared" si="45"/>
        <v>94</v>
      </c>
      <c r="S225" s="40" t="str">
        <f t="shared" si="46"/>
        <v>4</v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>08006</v>
      </c>
      <c r="B226" s="44" t="str">
        <f>IF(C226="","",VLOOKUP('OPĆI DIO'!$C$1,'OPĆI DIO'!$N$4:$W$137,9,FALSE))</f>
        <v>Sveučilišta i veleučilišta u Republici Hrvatskoj</v>
      </c>
      <c r="C226" s="50">
        <v>31</v>
      </c>
      <c r="D226" s="45" t="str">
        <f t="shared" si="38"/>
        <v>Vlastiti prihodi</v>
      </c>
      <c r="E226" s="50">
        <v>4224</v>
      </c>
      <c r="F226" s="45" t="str">
        <f t="shared" si="39"/>
        <v>Medicinska i laboratorijska oprema</v>
      </c>
      <c r="G226" s="82" t="s">
        <v>176</v>
      </c>
      <c r="H226" s="45" t="str">
        <f t="shared" si="40"/>
        <v>REDOVNA DJELATNOST SVEUČILIŠTA U OSIJEKU (IZ EVIDENCIJSKIH PRIHODA)</v>
      </c>
      <c r="I226" s="45" t="str">
        <f t="shared" si="41"/>
        <v>0942</v>
      </c>
      <c r="J226" s="81">
        <v>28000</v>
      </c>
      <c r="K226" s="81">
        <v>4700</v>
      </c>
      <c r="L226" s="81">
        <v>4900</v>
      </c>
      <c r="M226" s="49"/>
      <c r="N226" s="246" t="str">
        <f>IF(C226="","",'OPĆI DIO'!$C$1)</f>
        <v>2452 SVEUČILIŠTE J. J. STROSSMAYERA U OSIJEKU</v>
      </c>
      <c r="O226" s="40" t="str">
        <f t="shared" si="42"/>
        <v>422</v>
      </c>
      <c r="P226" s="40" t="str">
        <f t="shared" si="43"/>
        <v>42</v>
      </c>
      <c r="Q226" s="40" t="str">
        <f t="shared" si="44"/>
        <v>31</v>
      </c>
      <c r="R226" s="40" t="str">
        <f t="shared" si="45"/>
        <v>94</v>
      </c>
      <c r="S226" s="40" t="str">
        <f t="shared" si="46"/>
        <v>4</v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>08006</v>
      </c>
      <c r="B227" s="44" t="str">
        <f>IF(C227="","",VLOOKUP('OPĆI DIO'!$C$1,'OPĆI DIO'!$N$4:$W$137,9,FALSE))</f>
        <v>Sveučilišta i veleučilišta u Republici Hrvatskoj</v>
      </c>
      <c r="C227" s="50">
        <v>43</v>
      </c>
      <c r="D227" s="45" t="str">
        <f t="shared" si="38"/>
        <v>Ostali prihodi za posebne namjene</v>
      </c>
      <c r="E227" s="50">
        <v>3121</v>
      </c>
      <c r="F227" s="45" t="str">
        <f t="shared" si="39"/>
        <v>Ostali rashodi za zaposlene</v>
      </c>
      <c r="G227" s="82" t="s">
        <v>176</v>
      </c>
      <c r="H227" s="45" t="str">
        <f t="shared" si="40"/>
        <v>REDOVNA DJELATNOST SVEUČILIŠTA U OSIJEKU (IZ EVIDENCIJSKIH PRIHODA)</v>
      </c>
      <c r="I227" s="45" t="str">
        <f t="shared" si="41"/>
        <v>0942</v>
      </c>
      <c r="J227" s="81">
        <v>15000</v>
      </c>
      <c r="K227" s="81">
        <v>15000</v>
      </c>
      <c r="L227" s="81">
        <v>15000</v>
      </c>
      <c r="M227" s="49"/>
      <c r="N227" s="246" t="str">
        <f>IF(C227="","",'OPĆI DIO'!$C$1)</f>
        <v>2452 SVEUČILIŠTE J. J. STROSSMAYERA U OSIJEKU</v>
      </c>
      <c r="O227" s="40" t="str">
        <f t="shared" si="42"/>
        <v>312</v>
      </c>
      <c r="P227" s="40" t="str">
        <f t="shared" si="43"/>
        <v>31</v>
      </c>
      <c r="Q227" s="40" t="str">
        <f t="shared" si="44"/>
        <v>43</v>
      </c>
      <c r="R227" s="40" t="str">
        <f t="shared" si="45"/>
        <v>94</v>
      </c>
      <c r="S227" s="40" t="str">
        <f t="shared" si="46"/>
        <v>3</v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>08006</v>
      </c>
      <c r="B228" s="44" t="str">
        <f>IF(C228="","",VLOOKUP('OPĆI DIO'!$C$1,'OPĆI DIO'!$N$4:$W$137,9,FALSE))</f>
        <v>Sveučilišta i veleučilišta u Republici Hrvatskoj</v>
      </c>
      <c r="C228" s="50">
        <v>43</v>
      </c>
      <c r="D228" s="45" t="str">
        <f t="shared" si="38"/>
        <v>Ostali prihodi za posebne namjene</v>
      </c>
      <c r="E228" s="50">
        <v>3211</v>
      </c>
      <c r="F228" s="45" t="str">
        <f t="shared" si="39"/>
        <v>Službena putovanja</v>
      </c>
      <c r="G228" s="82" t="s">
        <v>176</v>
      </c>
      <c r="H228" s="45" t="str">
        <f t="shared" si="40"/>
        <v>REDOVNA DJELATNOST SVEUČILIŠTA U OSIJEKU (IZ EVIDENCIJSKIH PRIHODA)</v>
      </c>
      <c r="I228" s="45" t="str">
        <f t="shared" si="41"/>
        <v>0942</v>
      </c>
      <c r="J228" s="81">
        <v>9000</v>
      </c>
      <c r="K228" s="81">
        <v>9500</v>
      </c>
      <c r="L228" s="81">
        <v>10000</v>
      </c>
      <c r="M228" s="49"/>
      <c r="N228" s="246" t="str">
        <f>IF(C228="","",'OPĆI DIO'!$C$1)</f>
        <v>2452 SVEUČILIŠTE J. J. STROSSMAYERA U OSIJEKU</v>
      </c>
      <c r="O228" s="40" t="str">
        <f t="shared" si="42"/>
        <v>321</v>
      </c>
      <c r="P228" s="40" t="str">
        <f t="shared" si="43"/>
        <v>32</v>
      </c>
      <c r="Q228" s="40" t="str">
        <f t="shared" si="44"/>
        <v>43</v>
      </c>
      <c r="R228" s="40" t="str">
        <f t="shared" si="45"/>
        <v>94</v>
      </c>
      <c r="S228" s="40" t="str">
        <f t="shared" si="46"/>
        <v>3</v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>08006</v>
      </c>
      <c r="B229" s="44" t="str">
        <f>IF(C229="","",VLOOKUP('OPĆI DIO'!$C$1,'OPĆI DIO'!$N$4:$W$137,9,FALSE))</f>
        <v>Sveučilišta i veleučilišta u Republici Hrvatskoj</v>
      </c>
      <c r="C229" s="50">
        <v>43</v>
      </c>
      <c r="D229" s="45" t="str">
        <f t="shared" si="38"/>
        <v>Ostali prihodi za posebne namjene</v>
      </c>
      <c r="E229" s="50">
        <v>3213</v>
      </c>
      <c r="F229" s="45" t="str">
        <f t="shared" si="39"/>
        <v>Stručno usavršavanje zaposlenika</v>
      </c>
      <c r="G229" s="82" t="s">
        <v>176</v>
      </c>
      <c r="H229" s="45" t="str">
        <f t="shared" si="40"/>
        <v>REDOVNA DJELATNOST SVEUČILIŠTA U OSIJEKU (IZ EVIDENCIJSKIH PRIHODA)</v>
      </c>
      <c r="I229" s="45" t="str">
        <f t="shared" si="41"/>
        <v>0942</v>
      </c>
      <c r="J229" s="81">
        <v>4000</v>
      </c>
      <c r="K229" s="81">
        <v>4300</v>
      </c>
      <c r="L229" s="81">
        <v>4500</v>
      </c>
      <c r="M229" s="49"/>
      <c r="N229" s="246" t="str">
        <f>IF(C229="","",'OPĆI DIO'!$C$1)</f>
        <v>2452 SVEUČILIŠTE J. J. STROSSMAYERA U OSIJEKU</v>
      </c>
      <c r="O229" s="40" t="str">
        <f t="shared" si="42"/>
        <v>321</v>
      </c>
      <c r="P229" s="40" t="str">
        <f t="shared" si="43"/>
        <v>32</v>
      </c>
      <c r="Q229" s="40" t="str">
        <f t="shared" si="44"/>
        <v>43</v>
      </c>
      <c r="R229" s="40" t="str">
        <f t="shared" si="45"/>
        <v>94</v>
      </c>
      <c r="S229" s="40" t="str">
        <f t="shared" si="46"/>
        <v>3</v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>08006</v>
      </c>
      <c r="B230" s="44" t="str">
        <f>IF(C230="","",VLOOKUP('OPĆI DIO'!$C$1,'OPĆI DIO'!$N$4:$W$137,9,FALSE))</f>
        <v>Sveučilišta i veleučilišta u Republici Hrvatskoj</v>
      </c>
      <c r="C230" s="50">
        <v>43</v>
      </c>
      <c r="D230" s="45" t="str">
        <f t="shared" si="38"/>
        <v>Ostali prihodi za posebne namjene</v>
      </c>
      <c r="E230" s="50">
        <v>3221</v>
      </c>
      <c r="F230" s="45" t="str">
        <f t="shared" si="39"/>
        <v>Uredski materijal i ostali materijalni rashodi</v>
      </c>
      <c r="G230" s="82" t="s">
        <v>176</v>
      </c>
      <c r="H230" s="45" t="str">
        <f t="shared" si="40"/>
        <v>REDOVNA DJELATNOST SVEUČILIŠTA U OSIJEKU (IZ EVIDENCIJSKIH PRIHODA)</v>
      </c>
      <c r="I230" s="45" t="str">
        <f t="shared" si="41"/>
        <v>0942</v>
      </c>
      <c r="J230" s="81">
        <v>20000</v>
      </c>
      <c r="K230" s="81">
        <v>21000</v>
      </c>
      <c r="L230" s="81">
        <v>23000</v>
      </c>
      <c r="M230" s="49"/>
      <c r="N230" s="246" t="str">
        <f>IF(C230="","",'OPĆI DIO'!$C$1)</f>
        <v>2452 SVEUČILIŠTE J. J. STROSSMAYERA U OSIJEKU</v>
      </c>
      <c r="O230" s="40" t="str">
        <f t="shared" si="42"/>
        <v>322</v>
      </c>
      <c r="P230" s="40" t="str">
        <f t="shared" si="43"/>
        <v>32</v>
      </c>
      <c r="Q230" s="40" t="str">
        <f t="shared" si="44"/>
        <v>43</v>
      </c>
      <c r="R230" s="40" t="str">
        <f t="shared" si="45"/>
        <v>94</v>
      </c>
      <c r="S230" s="40" t="str">
        <f t="shared" si="46"/>
        <v>3</v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>08006</v>
      </c>
      <c r="B231" s="44" t="str">
        <f>IF(C231="","",VLOOKUP('OPĆI DIO'!$C$1,'OPĆI DIO'!$N$4:$W$137,9,FALSE))</f>
        <v>Sveučilišta i veleučilišta u Republici Hrvatskoj</v>
      </c>
      <c r="C231" s="50">
        <v>43</v>
      </c>
      <c r="D231" s="45" t="str">
        <f t="shared" si="38"/>
        <v>Ostali prihodi za posebne namjene</v>
      </c>
      <c r="E231" s="50">
        <v>3223</v>
      </c>
      <c r="F231" s="45" t="str">
        <f t="shared" si="39"/>
        <v>Energija</v>
      </c>
      <c r="G231" s="82" t="s">
        <v>176</v>
      </c>
      <c r="H231" s="45" t="str">
        <f t="shared" si="40"/>
        <v>REDOVNA DJELATNOST SVEUČILIŠTA U OSIJEKU (IZ EVIDENCIJSKIH PRIHODA)</v>
      </c>
      <c r="I231" s="45" t="str">
        <f t="shared" si="41"/>
        <v>0942</v>
      </c>
      <c r="J231" s="81">
        <v>37000</v>
      </c>
      <c r="K231" s="81">
        <v>37500</v>
      </c>
      <c r="L231" s="81">
        <v>38000</v>
      </c>
      <c r="M231" s="49"/>
      <c r="N231" s="246" t="str">
        <f>IF(C231="","",'OPĆI DIO'!$C$1)</f>
        <v>2452 SVEUČILIŠTE J. J. STROSSMAYERA U OSIJEKU</v>
      </c>
      <c r="O231" s="40" t="str">
        <f t="shared" si="42"/>
        <v>322</v>
      </c>
      <c r="P231" s="40" t="str">
        <f t="shared" si="43"/>
        <v>32</v>
      </c>
      <c r="Q231" s="40" t="str">
        <f t="shared" si="44"/>
        <v>43</v>
      </c>
      <c r="R231" s="40" t="str">
        <f t="shared" si="45"/>
        <v>94</v>
      </c>
      <c r="S231" s="40" t="str">
        <f t="shared" si="46"/>
        <v>3</v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>08006</v>
      </c>
      <c r="B232" s="44" t="str">
        <f>IF(C232="","",VLOOKUP('OPĆI DIO'!$C$1,'OPĆI DIO'!$N$4:$W$137,9,FALSE))</f>
        <v>Sveučilišta i veleučilišta u Republici Hrvatskoj</v>
      </c>
      <c r="C232" s="50">
        <v>43</v>
      </c>
      <c r="D232" s="45" t="str">
        <f t="shared" si="38"/>
        <v>Ostali prihodi za posebne namjene</v>
      </c>
      <c r="E232" s="50">
        <v>3224</v>
      </c>
      <c r="F232" s="45" t="str">
        <f t="shared" si="39"/>
        <v>Materijal i dijelovi za tekuće i investicijsko održavanje</v>
      </c>
      <c r="G232" s="82" t="s">
        <v>176</v>
      </c>
      <c r="H232" s="45" t="str">
        <f t="shared" si="40"/>
        <v>REDOVNA DJELATNOST SVEUČILIŠTA U OSIJEKU (IZ EVIDENCIJSKIH PRIHODA)</v>
      </c>
      <c r="I232" s="45" t="str">
        <f t="shared" si="41"/>
        <v>0942</v>
      </c>
      <c r="J232" s="81">
        <v>3000</v>
      </c>
      <c r="K232" s="81">
        <v>3000</v>
      </c>
      <c r="L232" s="81">
        <v>3000</v>
      </c>
      <c r="M232" s="49"/>
      <c r="N232" s="246" t="str">
        <f>IF(C232="","",'OPĆI DIO'!$C$1)</f>
        <v>2452 SVEUČILIŠTE J. J. STROSSMAYERA U OSIJEKU</v>
      </c>
      <c r="O232" s="40" t="str">
        <f t="shared" si="42"/>
        <v>322</v>
      </c>
      <c r="P232" s="40" t="str">
        <f t="shared" si="43"/>
        <v>32</v>
      </c>
      <c r="Q232" s="40" t="str">
        <f t="shared" si="44"/>
        <v>43</v>
      </c>
      <c r="R232" s="40" t="str">
        <f t="shared" si="45"/>
        <v>94</v>
      </c>
      <c r="S232" s="40" t="str">
        <f t="shared" si="46"/>
        <v>3</v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>08006</v>
      </c>
      <c r="B233" s="44" t="str">
        <f>IF(C233="","",VLOOKUP('OPĆI DIO'!$C$1,'OPĆI DIO'!$N$4:$W$137,9,FALSE))</f>
        <v>Sveučilišta i veleučilišta u Republici Hrvatskoj</v>
      </c>
      <c r="C233" s="50">
        <v>43</v>
      </c>
      <c r="D233" s="45" t="str">
        <f t="shared" si="38"/>
        <v>Ostali prihodi za posebne namjene</v>
      </c>
      <c r="E233" s="50">
        <v>3225</v>
      </c>
      <c r="F233" s="45" t="str">
        <f t="shared" si="39"/>
        <v>Sitni inventar i auto gume</v>
      </c>
      <c r="G233" s="82" t="s">
        <v>176</v>
      </c>
      <c r="H233" s="45" t="str">
        <f t="shared" si="40"/>
        <v>REDOVNA DJELATNOST SVEUČILIŠTA U OSIJEKU (IZ EVIDENCIJSKIH PRIHODA)</v>
      </c>
      <c r="I233" s="45" t="str">
        <f t="shared" si="41"/>
        <v>0942</v>
      </c>
      <c r="J233" s="81">
        <v>1000</v>
      </c>
      <c r="K233" s="81">
        <v>1000</v>
      </c>
      <c r="L233" s="81">
        <v>1000</v>
      </c>
      <c r="M233" s="49"/>
      <c r="N233" s="246" t="str">
        <f>IF(C233="","",'OPĆI DIO'!$C$1)</f>
        <v>2452 SVEUČILIŠTE J. J. STROSSMAYERA U OSIJEKU</v>
      </c>
      <c r="O233" s="40" t="str">
        <f t="shared" si="42"/>
        <v>322</v>
      </c>
      <c r="P233" s="40" t="str">
        <f t="shared" si="43"/>
        <v>32</v>
      </c>
      <c r="Q233" s="40" t="str">
        <f t="shared" si="44"/>
        <v>43</v>
      </c>
      <c r="R233" s="40" t="str">
        <f t="shared" si="45"/>
        <v>94</v>
      </c>
      <c r="S233" s="40" t="str">
        <f t="shared" si="46"/>
        <v>3</v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>08006</v>
      </c>
      <c r="B234" s="44" t="str">
        <f>IF(C234="","",VLOOKUP('OPĆI DIO'!$C$1,'OPĆI DIO'!$N$4:$W$137,9,FALSE))</f>
        <v>Sveučilišta i veleučilišta u Republici Hrvatskoj</v>
      </c>
      <c r="C234" s="50">
        <v>43</v>
      </c>
      <c r="D234" s="45" t="str">
        <f t="shared" si="38"/>
        <v>Ostali prihodi za posebne namjene</v>
      </c>
      <c r="E234" s="50">
        <v>3227</v>
      </c>
      <c r="F234" s="45" t="str">
        <f t="shared" si="39"/>
        <v>Službena, radna i zaštitna odjeća i obuća</v>
      </c>
      <c r="G234" s="82" t="s">
        <v>176</v>
      </c>
      <c r="H234" s="45" t="str">
        <f t="shared" si="40"/>
        <v>REDOVNA DJELATNOST SVEUČILIŠTA U OSIJEKU (IZ EVIDENCIJSKIH PRIHODA)</v>
      </c>
      <c r="I234" s="45" t="str">
        <f t="shared" si="41"/>
        <v>0942</v>
      </c>
      <c r="J234" s="81">
        <v>1000</v>
      </c>
      <c r="K234" s="81">
        <v>1000</v>
      </c>
      <c r="L234" s="81">
        <v>1000</v>
      </c>
      <c r="M234" s="49"/>
      <c r="N234" s="246" t="str">
        <f>IF(C234="","",'OPĆI DIO'!$C$1)</f>
        <v>2452 SVEUČILIŠTE J. J. STROSSMAYERA U OSIJEKU</v>
      </c>
      <c r="O234" s="40" t="str">
        <f t="shared" si="42"/>
        <v>322</v>
      </c>
      <c r="P234" s="40" t="str">
        <f t="shared" si="43"/>
        <v>32</v>
      </c>
      <c r="Q234" s="40" t="str">
        <f t="shared" si="44"/>
        <v>43</v>
      </c>
      <c r="R234" s="40" t="str">
        <f t="shared" si="45"/>
        <v>94</v>
      </c>
      <c r="S234" s="40" t="str">
        <f t="shared" si="46"/>
        <v>3</v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>08006</v>
      </c>
      <c r="B235" s="44" t="str">
        <f>IF(C235="","",VLOOKUP('OPĆI DIO'!$C$1,'OPĆI DIO'!$N$4:$W$137,9,FALSE))</f>
        <v>Sveučilišta i veleučilišta u Republici Hrvatskoj</v>
      </c>
      <c r="C235" s="50">
        <v>43</v>
      </c>
      <c r="D235" s="45" t="str">
        <f t="shared" si="38"/>
        <v>Ostali prihodi za posebne namjene</v>
      </c>
      <c r="E235" s="50">
        <v>3231</v>
      </c>
      <c r="F235" s="45" t="str">
        <f t="shared" si="39"/>
        <v>Usluge telefona, pošte i prijevoza</v>
      </c>
      <c r="G235" s="82" t="s">
        <v>176</v>
      </c>
      <c r="H235" s="45" t="str">
        <f t="shared" si="40"/>
        <v>REDOVNA DJELATNOST SVEUČILIŠTA U OSIJEKU (IZ EVIDENCIJSKIH PRIHODA)</v>
      </c>
      <c r="I235" s="45" t="str">
        <f t="shared" si="41"/>
        <v>0942</v>
      </c>
      <c r="J235" s="81">
        <v>11000</v>
      </c>
      <c r="K235" s="81">
        <v>11500</v>
      </c>
      <c r="L235" s="81">
        <v>12000</v>
      </c>
      <c r="M235" s="49"/>
      <c r="N235" s="246" t="str">
        <f>IF(C235="","",'OPĆI DIO'!$C$1)</f>
        <v>2452 SVEUČILIŠTE J. J. STROSSMAYERA U OSIJEKU</v>
      </c>
      <c r="O235" s="40" t="str">
        <f t="shared" si="42"/>
        <v>323</v>
      </c>
      <c r="P235" s="40" t="str">
        <f t="shared" si="43"/>
        <v>32</v>
      </c>
      <c r="Q235" s="40" t="str">
        <f t="shared" si="44"/>
        <v>43</v>
      </c>
      <c r="R235" s="40" t="str">
        <f t="shared" si="45"/>
        <v>94</v>
      </c>
      <c r="S235" s="40" t="str">
        <f t="shared" si="46"/>
        <v>3</v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>08006</v>
      </c>
      <c r="B236" s="44" t="str">
        <f>IF(C236="","",VLOOKUP('OPĆI DIO'!$C$1,'OPĆI DIO'!$N$4:$W$137,9,FALSE))</f>
        <v>Sveučilišta i veleučilišta u Republici Hrvatskoj</v>
      </c>
      <c r="C236" s="50">
        <v>43</v>
      </c>
      <c r="D236" s="45" t="str">
        <f t="shared" si="38"/>
        <v>Ostali prihodi za posebne namjene</v>
      </c>
      <c r="E236" s="50">
        <v>3232</v>
      </c>
      <c r="F236" s="45" t="str">
        <f t="shared" si="39"/>
        <v>Usluge tekućeg i investicijskog održavanja</v>
      </c>
      <c r="G236" s="82" t="s">
        <v>176</v>
      </c>
      <c r="H236" s="45" t="str">
        <f t="shared" si="40"/>
        <v>REDOVNA DJELATNOST SVEUČILIŠTA U OSIJEKU (IZ EVIDENCIJSKIH PRIHODA)</v>
      </c>
      <c r="I236" s="45" t="str">
        <f t="shared" si="41"/>
        <v>0942</v>
      </c>
      <c r="J236" s="81">
        <v>7000</v>
      </c>
      <c r="K236" s="81">
        <v>7000</v>
      </c>
      <c r="L236" s="81">
        <v>7000</v>
      </c>
      <c r="M236" s="49"/>
      <c r="N236" s="246" t="str">
        <f>IF(C236="","",'OPĆI DIO'!$C$1)</f>
        <v>2452 SVEUČILIŠTE J. J. STROSSMAYERA U OSIJEKU</v>
      </c>
      <c r="O236" s="40" t="str">
        <f t="shared" si="42"/>
        <v>323</v>
      </c>
      <c r="P236" s="40" t="str">
        <f t="shared" si="43"/>
        <v>32</v>
      </c>
      <c r="Q236" s="40" t="str">
        <f t="shared" si="44"/>
        <v>43</v>
      </c>
      <c r="R236" s="40" t="str">
        <f t="shared" si="45"/>
        <v>94</v>
      </c>
      <c r="S236" s="40" t="str">
        <f t="shared" si="46"/>
        <v>3</v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>08006</v>
      </c>
      <c r="B237" s="44" t="str">
        <f>IF(C237="","",VLOOKUP('OPĆI DIO'!$C$1,'OPĆI DIO'!$N$4:$W$137,9,FALSE))</f>
        <v>Sveučilišta i veleučilišta u Republici Hrvatskoj</v>
      </c>
      <c r="C237" s="50">
        <v>43</v>
      </c>
      <c r="D237" s="45" t="str">
        <f t="shared" si="38"/>
        <v>Ostali prihodi za posebne namjene</v>
      </c>
      <c r="E237" s="50">
        <v>3233</v>
      </c>
      <c r="F237" s="45" t="str">
        <f t="shared" si="39"/>
        <v>Usluge promidžbe i informiranja</v>
      </c>
      <c r="G237" s="82" t="s">
        <v>176</v>
      </c>
      <c r="H237" s="45" t="str">
        <f t="shared" si="40"/>
        <v>REDOVNA DJELATNOST SVEUČILIŠTA U OSIJEKU (IZ EVIDENCIJSKIH PRIHODA)</v>
      </c>
      <c r="I237" s="45" t="str">
        <f t="shared" si="41"/>
        <v>0942</v>
      </c>
      <c r="J237" s="81">
        <v>3000</v>
      </c>
      <c r="K237" s="81">
        <v>3000</v>
      </c>
      <c r="L237" s="81">
        <v>3000</v>
      </c>
      <c r="M237" s="49"/>
      <c r="N237" s="246" t="str">
        <f>IF(C237="","",'OPĆI DIO'!$C$1)</f>
        <v>2452 SVEUČILIŠTE J. J. STROSSMAYERA U OSIJEKU</v>
      </c>
      <c r="O237" s="40" t="str">
        <f t="shared" si="42"/>
        <v>323</v>
      </c>
      <c r="P237" s="40" t="str">
        <f t="shared" si="43"/>
        <v>32</v>
      </c>
      <c r="Q237" s="40" t="str">
        <f t="shared" si="44"/>
        <v>43</v>
      </c>
      <c r="R237" s="40" t="str">
        <f t="shared" si="45"/>
        <v>94</v>
      </c>
      <c r="S237" s="40" t="str">
        <f t="shared" si="46"/>
        <v>3</v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>08006</v>
      </c>
      <c r="B238" s="44" t="str">
        <f>IF(C238="","",VLOOKUP('OPĆI DIO'!$C$1,'OPĆI DIO'!$N$4:$W$137,9,FALSE))</f>
        <v>Sveučilišta i veleučilišta u Republici Hrvatskoj</v>
      </c>
      <c r="C238" s="50">
        <v>43</v>
      </c>
      <c r="D238" s="45" t="str">
        <f t="shared" si="38"/>
        <v>Ostali prihodi za posebne namjene</v>
      </c>
      <c r="E238" s="50">
        <v>3234</v>
      </c>
      <c r="F238" s="45" t="str">
        <f t="shared" si="39"/>
        <v>Komunalne usluge</v>
      </c>
      <c r="G238" s="82" t="s">
        <v>176</v>
      </c>
      <c r="H238" s="45" t="str">
        <f t="shared" si="40"/>
        <v>REDOVNA DJELATNOST SVEUČILIŠTA U OSIJEKU (IZ EVIDENCIJSKIH PRIHODA)</v>
      </c>
      <c r="I238" s="45" t="str">
        <f t="shared" si="41"/>
        <v>0942</v>
      </c>
      <c r="J238" s="81">
        <v>7000</v>
      </c>
      <c r="K238" s="81">
        <v>7200</v>
      </c>
      <c r="L238" s="81">
        <v>7500</v>
      </c>
      <c r="M238" s="49"/>
      <c r="N238" s="246" t="str">
        <f>IF(C238="","",'OPĆI DIO'!$C$1)</f>
        <v>2452 SVEUČILIŠTE J. J. STROSSMAYERA U OSIJEKU</v>
      </c>
      <c r="O238" s="40" t="str">
        <f t="shared" si="42"/>
        <v>323</v>
      </c>
      <c r="P238" s="40" t="str">
        <f t="shared" si="43"/>
        <v>32</v>
      </c>
      <c r="Q238" s="40" t="str">
        <f t="shared" si="44"/>
        <v>43</v>
      </c>
      <c r="R238" s="40" t="str">
        <f t="shared" si="45"/>
        <v>94</v>
      </c>
      <c r="S238" s="40" t="str">
        <f t="shared" si="46"/>
        <v>3</v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>08006</v>
      </c>
      <c r="B239" s="44" t="str">
        <f>IF(C239="","",VLOOKUP('OPĆI DIO'!$C$1,'OPĆI DIO'!$N$4:$W$137,9,FALSE))</f>
        <v>Sveučilišta i veleučilišta u Republici Hrvatskoj</v>
      </c>
      <c r="C239" s="50">
        <v>43</v>
      </c>
      <c r="D239" s="45" t="str">
        <f t="shared" si="38"/>
        <v>Ostali prihodi za posebne namjene</v>
      </c>
      <c r="E239" s="50">
        <v>3235</v>
      </c>
      <c r="F239" s="45" t="str">
        <f t="shared" si="39"/>
        <v>Zakupnine i najamnine</v>
      </c>
      <c r="G239" s="82" t="s">
        <v>176</v>
      </c>
      <c r="H239" s="45" t="str">
        <f t="shared" si="40"/>
        <v>REDOVNA DJELATNOST SVEUČILIŠTA U OSIJEKU (IZ EVIDENCIJSKIH PRIHODA)</v>
      </c>
      <c r="I239" s="45" t="str">
        <f t="shared" si="41"/>
        <v>0942</v>
      </c>
      <c r="J239" s="81">
        <v>8000</v>
      </c>
      <c r="K239" s="81">
        <v>8200</v>
      </c>
      <c r="L239" s="81">
        <v>8500</v>
      </c>
      <c r="M239" s="49"/>
      <c r="N239" s="246" t="str">
        <f>IF(C239="","",'OPĆI DIO'!$C$1)</f>
        <v>2452 SVEUČILIŠTE J. J. STROSSMAYERA U OSIJEKU</v>
      </c>
      <c r="O239" s="40" t="str">
        <f t="shared" si="42"/>
        <v>323</v>
      </c>
      <c r="P239" s="40" t="str">
        <f t="shared" si="43"/>
        <v>32</v>
      </c>
      <c r="Q239" s="40" t="str">
        <f t="shared" si="44"/>
        <v>43</v>
      </c>
      <c r="R239" s="40" t="str">
        <f t="shared" si="45"/>
        <v>94</v>
      </c>
      <c r="S239" s="40" t="str">
        <f t="shared" si="46"/>
        <v>3</v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>08006</v>
      </c>
      <c r="B240" s="44" t="str">
        <f>IF(C240="","",VLOOKUP('OPĆI DIO'!$C$1,'OPĆI DIO'!$N$4:$W$137,9,FALSE))</f>
        <v>Sveučilišta i veleučilišta u Republici Hrvatskoj</v>
      </c>
      <c r="C240" s="50">
        <v>43</v>
      </c>
      <c r="D240" s="45" t="str">
        <f t="shared" si="38"/>
        <v>Ostali prihodi za posebne namjene</v>
      </c>
      <c r="E240" s="50">
        <v>3236</v>
      </c>
      <c r="F240" s="45" t="str">
        <f t="shared" si="39"/>
        <v>Zdravstvene i veterinarske usluge</v>
      </c>
      <c r="G240" s="82" t="s">
        <v>176</v>
      </c>
      <c r="H240" s="45" t="str">
        <f t="shared" si="40"/>
        <v>REDOVNA DJELATNOST SVEUČILIŠTA U OSIJEKU (IZ EVIDENCIJSKIH PRIHODA)</v>
      </c>
      <c r="I240" s="45" t="str">
        <f t="shared" si="41"/>
        <v>0942</v>
      </c>
      <c r="J240" s="81">
        <v>300</v>
      </c>
      <c r="K240" s="81">
        <v>300</v>
      </c>
      <c r="L240" s="81">
        <v>300</v>
      </c>
      <c r="M240" s="49"/>
      <c r="N240" s="246" t="str">
        <f>IF(C240="","",'OPĆI DIO'!$C$1)</f>
        <v>2452 SVEUČILIŠTE J. J. STROSSMAYERA U OSIJEKU</v>
      </c>
      <c r="O240" s="40" t="str">
        <f t="shared" si="42"/>
        <v>323</v>
      </c>
      <c r="P240" s="40" t="str">
        <f t="shared" si="43"/>
        <v>32</v>
      </c>
      <c r="Q240" s="40" t="str">
        <f t="shared" si="44"/>
        <v>43</v>
      </c>
      <c r="R240" s="40" t="str">
        <f t="shared" si="45"/>
        <v>94</v>
      </c>
      <c r="S240" s="40" t="str">
        <f t="shared" si="46"/>
        <v>3</v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>08006</v>
      </c>
      <c r="B241" s="44" t="str">
        <f>IF(C241="","",VLOOKUP('OPĆI DIO'!$C$1,'OPĆI DIO'!$N$4:$W$137,9,FALSE))</f>
        <v>Sveučilišta i veleučilišta u Republici Hrvatskoj</v>
      </c>
      <c r="C241" s="50">
        <v>43</v>
      </c>
      <c r="D241" s="45" t="str">
        <f t="shared" si="38"/>
        <v>Ostali prihodi za posebne namjene</v>
      </c>
      <c r="E241" s="50">
        <v>3237</v>
      </c>
      <c r="F241" s="45" t="str">
        <f t="shared" si="39"/>
        <v>Intelektualne i osobne usluge</v>
      </c>
      <c r="G241" s="82" t="s">
        <v>176</v>
      </c>
      <c r="H241" s="45" t="str">
        <f t="shared" si="40"/>
        <v>REDOVNA DJELATNOST SVEUČILIŠTA U OSIJEKU (IZ EVIDENCIJSKIH PRIHODA)</v>
      </c>
      <c r="I241" s="45" t="str">
        <f t="shared" si="41"/>
        <v>0942</v>
      </c>
      <c r="J241" s="81">
        <v>10000</v>
      </c>
      <c r="K241" s="81">
        <v>11000</v>
      </c>
      <c r="L241" s="81">
        <v>11500</v>
      </c>
      <c r="M241" s="49"/>
      <c r="N241" s="246" t="str">
        <f>IF(C241="","",'OPĆI DIO'!$C$1)</f>
        <v>2452 SVEUČILIŠTE J. J. STROSSMAYERA U OSIJEKU</v>
      </c>
      <c r="O241" s="40" t="str">
        <f t="shared" si="42"/>
        <v>323</v>
      </c>
      <c r="P241" s="40" t="str">
        <f t="shared" si="43"/>
        <v>32</v>
      </c>
      <c r="Q241" s="40" t="str">
        <f t="shared" si="44"/>
        <v>43</v>
      </c>
      <c r="R241" s="40" t="str">
        <f t="shared" si="45"/>
        <v>94</v>
      </c>
      <c r="S241" s="40" t="str">
        <f t="shared" si="46"/>
        <v>3</v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>08006</v>
      </c>
      <c r="B242" s="44" t="str">
        <f>IF(C242="","",VLOOKUP('OPĆI DIO'!$C$1,'OPĆI DIO'!$N$4:$W$137,9,FALSE))</f>
        <v>Sveučilišta i veleučilišta u Republici Hrvatskoj</v>
      </c>
      <c r="C242" s="50">
        <v>43</v>
      </c>
      <c r="D242" s="45" t="str">
        <f t="shared" si="38"/>
        <v>Ostali prihodi za posebne namjene</v>
      </c>
      <c r="E242" s="50">
        <v>3238</v>
      </c>
      <c r="F242" s="45" t="str">
        <f t="shared" si="39"/>
        <v>Računalne usluge</v>
      </c>
      <c r="G242" s="82" t="s">
        <v>176</v>
      </c>
      <c r="H242" s="45" t="str">
        <f t="shared" si="40"/>
        <v>REDOVNA DJELATNOST SVEUČILIŠTA U OSIJEKU (IZ EVIDENCIJSKIH PRIHODA)</v>
      </c>
      <c r="I242" s="45" t="str">
        <f t="shared" si="41"/>
        <v>0942</v>
      </c>
      <c r="J242" s="81">
        <v>1620</v>
      </c>
      <c r="K242" s="81">
        <v>1800</v>
      </c>
      <c r="L242" s="81">
        <v>1900</v>
      </c>
      <c r="M242" s="49"/>
      <c r="N242" s="246" t="str">
        <f>IF(C242="","",'OPĆI DIO'!$C$1)</f>
        <v>2452 SVEUČILIŠTE J. J. STROSSMAYERA U OSIJEKU</v>
      </c>
      <c r="O242" s="40" t="str">
        <f t="shared" si="42"/>
        <v>323</v>
      </c>
      <c r="P242" s="40" t="str">
        <f t="shared" si="43"/>
        <v>32</v>
      </c>
      <c r="Q242" s="40" t="str">
        <f t="shared" si="44"/>
        <v>43</v>
      </c>
      <c r="R242" s="40" t="str">
        <f t="shared" si="45"/>
        <v>94</v>
      </c>
      <c r="S242" s="40" t="str">
        <f t="shared" si="46"/>
        <v>3</v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>08006</v>
      </c>
      <c r="B243" s="44" t="str">
        <f>IF(C243="","",VLOOKUP('OPĆI DIO'!$C$1,'OPĆI DIO'!$N$4:$W$137,9,FALSE))</f>
        <v>Sveučilišta i veleučilišta u Republici Hrvatskoj</v>
      </c>
      <c r="C243" s="50">
        <v>43</v>
      </c>
      <c r="D243" s="45" t="str">
        <f t="shared" si="38"/>
        <v>Ostali prihodi za posebne namjene</v>
      </c>
      <c r="E243" s="50">
        <v>3239</v>
      </c>
      <c r="F243" s="45" t="str">
        <f t="shared" si="39"/>
        <v>Ostale usluge</v>
      </c>
      <c r="G243" s="82" t="s">
        <v>176</v>
      </c>
      <c r="H243" s="45" t="str">
        <f t="shared" si="40"/>
        <v>REDOVNA DJELATNOST SVEUČILIŠTA U OSIJEKU (IZ EVIDENCIJSKIH PRIHODA)</v>
      </c>
      <c r="I243" s="45" t="str">
        <f t="shared" si="41"/>
        <v>0942</v>
      </c>
      <c r="J243" s="81">
        <v>5000</v>
      </c>
      <c r="K243" s="81">
        <v>5000</v>
      </c>
      <c r="L243" s="81">
        <v>5500</v>
      </c>
      <c r="M243" s="49"/>
      <c r="N243" s="246" t="str">
        <f>IF(C243="","",'OPĆI DIO'!$C$1)</f>
        <v>2452 SVEUČILIŠTE J. J. STROSSMAYERA U OSIJEKU</v>
      </c>
      <c r="O243" s="40" t="str">
        <f t="shared" si="42"/>
        <v>323</v>
      </c>
      <c r="P243" s="40" t="str">
        <f t="shared" si="43"/>
        <v>32</v>
      </c>
      <c r="Q243" s="40" t="str">
        <f t="shared" si="44"/>
        <v>43</v>
      </c>
      <c r="R243" s="40" t="str">
        <f t="shared" si="45"/>
        <v>94</v>
      </c>
      <c r="S243" s="40" t="str">
        <f t="shared" si="46"/>
        <v>3</v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>08006</v>
      </c>
      <c r="B244" s="44" t="str">
        <f>IF(C244="","",VLOOKUP('OPĆI DIO'!$C$1,'OPĆI DIO'!$N$4:$W$137,9,FALSE))</f>
        <v>Sveučilišta i veleučilišta u Republici Hrvatskoj</v>
      </c>
      <c r="C244" s="50">
        <v>43</v>
      </c>
      <c r="D244" s="45" t="str">
        <f t="shared" si="38"/>
        <v>Ostali prihodi za posebne namjene</v>
      </c>
      <c r="E244" s="50">
        <v>3241</v>
      </c>
      <c r="F244" s="45" t="str">
        <f t="shared" si="39"/>
        <v>Naknade troškova osobama izvan radnog odnosa</v>
      </c>
      <c r="G244" s="82" t="s">
        <v>176</v>
      </c>
      <c r="H244" s="45" t="str">
        <f t="shared" si="40"/>
        <v>REDOVNA DJELATNOST SVEUČILIŠTA U OSIJEKU (IZ EVIDENCIJSKIH PRIHODA)</v>
      </c>
      <c r="I244" s="45" t="str">
        <f t="shared" si="41"/>
        <v>0942</v>
      </c>
      <c r="J244" s="81">
        <v>9000</v>
      </c>
      <c r="K244" s="81">
        <v>9000</v>
      </c>
      <c r="L244" s="81">
        <v>9500</v>
      </c>
      <c r="M244" s="49"/>
      <c r="N244" s="246" t="str">
        <f>IF(C244="","",'OPĆI DIO'!$C$1)</f>
        <v>2452 SVEUČILIŠTE J. J. STROSSMAYERA U OSIJEKU</v>
      </c>
      <c r="O244" s="40" t="str">
        <f t="shared" si="42"/>
        <v>324</v>
      </c>
      <c r="P244" s="40" t="str">
        <f t="shared" si="43"/>
        <v>32</v>
      </c>
      <c r="Q244" s="40" t="str">
        <f t="shared" si="44"/>
        <v>43</v>
      </c>
      <c r="R244" s="40" t="str">
        <f t="shared" si="45"/>
        <v>94</v>
      </c>
      <c r="S244" s="40" t="str">
        <f t="shared" si="46"/>
        <v>3</v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>08006</v>
      </c>
      <c r="B245" s="44" t="str">
        <f>IF(C245="","",VLOOKUP('OPĆI DIO'!$C$1,'OPĆI DIO'!$N$4:$W$137,9,FALSE))</f>
        <v>Sveučilišta i veleučilišta u Republici Hrvatskoj</v>
      </c>
      <c r="C245" s="50">
        <v>43</v>
      </c>
      <c r="D245" s="45" t="str">
        <f t="shared" si="38"/>
        <v>Ostali prihodi za posebne namjene</v>
      </c>
      <c r="E245" s="50">
        <v>3292</v>
      </c>
      <c r="F245" s="45" t="str">
        <f t="shared" si="39"/>
        <v>Premije osiguranja</v>
      </c>
      <c r="G245" s="82" t="s">
        <v>176</v>
      </c>
      <c r="H245" s="45" t="str">
        <f t="shared" si="40"/>
        <v>REDOVNA DJELATNOST SVEUČILIŠTA U OSIJEKU (IZ EVIDENCIJSKIH PRIHODA)</v>
      </c>
      <c r="I245" s="45" t="str">
        <f t="shared" si="41"/>
        <v>0942</v>
      </c>
      <c r="J245" s="81">
        <v>1500</v>
      </c>
      <c r="K245" s="81">
        <v>1500</v>
      </c>
      <c r="L245" s="81">
        <v>1500</v>
      </c>
      <c r="M245" s="49"/>
      <c r="N245" s="246" t="str">
        <f>IF(C245="","",'OPĆI DIO'!$C$1)</f>
        <v>2452 SVEUČILIŠTE J. J. STROSSMAYERA U OSIJEKU</v>
      </c>
      <c r="O245" s="40" t="str">
        <f t="shared" si="42"/>
        <v>329</v>
      </c>
      <c r="P245" s="40" t="str">
        <f t="shared" si="43"/>
        <v>32</v>
      </c>
      <c r="Q245" s="40" t="str">
        <f t="shared" si="44"/>
        <v>43</v>
      </c>
      <c r="R245" s="40" t="str">
        <f t="shared" si="45"/>
        <v>94</v>
      </c>
      <c r="S245" s="40" t="str">
        <f t="shared" si="46"/>
        <v>3</v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>08006</v>
      </c>
      <c r="B246" s="44" t="str">
        <f>IF(C246="","",VLOOKUP('OPĆI DIO'!$C$1,'OPĆI DIO'!$N$4:$W$137,9,FALSE))</f>
        <v>Sveučilišta i veleučilišta u Republici Hrvatskoj</v>
      </c>
      <c r="C246" s="50">
        <v>43</v>
      </c>
      <c r="D246" s="45" t="str">
        <f t="shared" si="38"/>
        <v>Ostali prihodi za posebne namjene</v>
      </c>
      <c r="E246" s="50">
        <v>3293</v>
      </c>
      <c r="F246" s="45" t="str">
        <f t="shared" si="39"/>
        <v>Reprezentacija</v>
      </c>
      <c r="G246" s="82" t="s">
        <v>176</v>
      </c>
      <c r="H246" s="45" t="str">
        <f t="shared" si="40"/>
        <v>REDOVNA DJELATNOST SVEUČILIŠTA U OSIJEKU (IZ EVIDENCIJSKIH PRIHODA)</v>
      </c>
      <c r="I246" s="45" t="str">
        <f t="shared" si="41"/>
        <v>0942</v>
      </c>
      <c r="J246" s="81">
        <v>3000</v>
      </c>
      <c r="K246" s="81">
        <v>3000</v>
      </c>
      <c r="L246" s="81">
        <v>3000</v>
      </c>
      <c r="M246" s="49"/>
      <c r="N246" s="246" t="str">
        <f>IF(C246="","",'OPĆI DIO'!$C$1)</f>
        <v>2452 SVEUČILIŠTE J. J. STROSSMAYERA U OSIJEKU</v>
      </c>
      <c r="O246" s="40" t="str">
        <f t="shared" si="42"/>
        <v>329</v>
      </c>
      <c r="P246" s="40" t="str">
        <f t="shared" si="43"/>
        <v>32</v>
      </c>
      <c r="Q246" s="40" t="str">
        <f t="shared" si="44"/>
        <v>43</v>
      </c>
      <c r="R246" s="40" t="str">
        <f t="shared" si="45"/>
        <v>94</v>
      </c>
      <c r="S246" s="40" t="str">
        <f t="shared" si="46"/>
        <v>3</v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>08006</v>
      </c>
      <c r="B247" s="44" t="str">
        <f>IF(C247="","",VLOOKUP('OPĆI DIO'!$C$1,'OPĆI DIO'!$N$4:$W$137,9,FALSE))</f>
        <v>Sveučilišta i veleučilišta u Republici Hrvatskoj</v>
      </c>
      <c r="C247" s="50">
        <v>43</v>
      </c>
      <c r="D247" s="45" t="str">
        <f t="shared" si="38"/>
        <v>Ostali prihodi za posebne namjene</v>
      </c>
      <c r="E247" s="50">
        <v>3294</v>
      </c>
      <c r="F247" s="45" t="str">
        <f t="shared" si="39"/>
        <v>Članarine i norme</v>
      </c>
      <c r="G247" s="82" t="s">
        <v>176</v>
      </c>
      <c r="H247" s="45" t="str">
        <f t="shared" si="40"/>
        <v>REDOVNA DJELATNOST SVEUČILIŠTA U OSIJEKU (IZ EVIDENCIJSKIH PRIHODA)</v>
      </c>
      <c r="I247" s="45" t="str">
        <f t="shared" si="41"/>
        <v>0942</v>
      </c>
      <c r="J247" s="81">
        <v>250</v>
      </c>
      <c r="K247" s="81">
        <v>250</v>
      </c>
      <c r="L247" s="81">
        <v>250</v>
      </c>
      <c r="M247" s="49"/>
      <c r="N247" s="246" t="str">
        <f>IF(C247="","",'OPĆI DIO'!$C$1)</f>
        <v>2452 SVEUČILIŠTE J. J. STROSSMAYERA U OSIJEKU</v>
      </c>
      <c r="O247" s="40" t="str">
        <f t="shared" si="42"/>
        <v>329</v>
      </c>
      <c r="P247" s="40" t="str">
        <f t="shared" si="43"/>
        <v>32</v>
      </c>
      <c r="Q247" s="40" t="str">
        <f t="shared" si="44"/>
        <v>43</v>
      </c>
      <c r="R247" s="40" t="str">
        <f t="shared" si="45"/>
        <v>94</v>
      </c>
      <c r="S247" s="40" t="str">
        <f t="shared" si="46"/>
        <v>3</v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>08006</v>
      </c>
      <c r="B248" s="44" t="str">
        <f>IF(C248="","",VLOOKUP('OPĆI DIO'!$C$1,'OPĆI DIO'!$N$4:$W$137,9,FALSE))</f>
        <v>Sveučilišta i veleučilišta u Republici Hrvatskoj</v>
      </c>
      <c r="C248" s="50">
        <v>43</v>
      </c>
      <c r="D248" s="45" t="str">
        <f t="shared" si="38"/>
        <v>Ostali prihodi za posebne namjene</v>
      </c>
      <c r="E248" s="50">
        <v>3295</v>
      </c>
      <c r="F248" s="45" t="str">
        <f t="shared" si="39"/>
        <v>Pristojbe i naknade</v>
      </c>
      <c r="G248" s="82" t="s">
        <v>176</v>
      </c>
      <c r="H248" s="45" t="str">
        <f t="shared" si="40"/>
        <v>REDOVNA DJELATNOST SVEUČILIŠTA U OSIJEKU (IZ EVIDENCIJSKIH PRIHODA)</v>
      </c>
      <c r="I248" s="45" t="str">
        <f t="shared" si="41"/>
        <v>0942</v>
      </c>
      <c r="J248" s="81">
        <v>300</v>
      </c>
      <c r="K248" s="81">
        <v>300</v>
      </c>
      <c r="L248" s="81">
        <v>300</v>
      </c>
      <c r="M248" s="49"/>
      <c r="N248" s="246" t="str">
        <f>IF(C248="","",'OPĆI DIO'!$C$1)</f>
        <v>2452 SVEUČILIŠTE J. J. STROSSMAYERA U OSIJEKU</v>
      </c>
      <c r="O248" s="40" t="str">
        <f t="shared" si="42"/>
        <v>329</v>
      </c>
      <c r="P248" s="40" t="str">
        <f t="shared" si="43"/>
        <v>32</v>
      </c>
      <c r="Q248" s="40" t="str">
        <f t="shared" si="44"/>
        <v>43</v>
      </c>
      <c r="R248" s="40" t="str">
        <f t="shared" si="45"/>
        <v>94</v>
      </c>
      <c r="S248" s="40" t="str">
        <f t="shared" si="46"/>
        <v>3</v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>08006</v>
      </c>
      <c r="B249" s="44" t="str">
        <f>IF(C249="","",VLOOKUP('OPĆI DIO'!$C$1,'OPĆI DIO'!$N$4:$W$137,9,FALSE))</f>
        <v>Sveučilišta i veleučilišta u Republici Hrvatskoj</v>
      </c>
      <c r="C249" s="50">
        <v>43</v>
      </c>
      <c r="D249" s="45" t="str">
        <f t="shared" si="38"/>
        <v>Ostali prihodi za posebne namjene</v>
      </c>
      <c r="E249" s="50">
        <v>3299</v>
      </c>
      <c r="F249" s="45" t="str">
        <f t="shared" si="39"/>
        <v>Ostali nespomenuti rashodi poslovanja</v>
      </c>
      <c r="G249" s="82" t="s">
        <v>176</v>
      </c>
      <c r="H249" s="45" t="str">
        <f t="shared" si="40"/>
        <v>REDOVNA DJELATNOST SVEUČILIŠTA U OSIJEKU (IZ EVIDENCIJSKIH PRIHODA)</v>
      </c>
      <c r="I249" s="45" t="str">
        <f t="shared" si="41"/>
        <v>0942</v>
      </c>
      <c r="J249" s="81">
        <v>10000</v>
      </c>
      <c r="K249" s="81">
        <v>11500</v>
      </c>
      <c r="L249" s="81">
        <v>12000</v>
      </c>
      <c r="M249" s="49"/>
      <c r="N249" s="246" t="str">
        <f>IF(C249="","",'OPĆI DIO'!$C$1)</f>
        <v>2452 SVEUČILIŠTE J. J. STROSSMAYERA U OSIJEKU</v>
      </c>
      <c r="O249" s="40" t="str">
        <f t="shared" si="42"/>
        <v>329</v>
      </c>
      <c r="P249" s="40" t="str">
        <f t="shared" si="43"/>
        <v>32</v>
      </c>
      <c r="Q249" s="40" t="str">
        <f t="shared" si="44"/>
        <v>43</v>
      </c>
      <c r="R249" s="40" t="str">
        <f t="shared" si="45"/>
        <v>94</v>
      </c>
      <c r="S249" s="40" t="str">
        <f t="shared" si="46"/>
        <v>3</v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>08006</v>
      </c>
      <c r="B250" s="44" t="str">
        <f>IF(C250="","",VLOOKUP('OPĆI DIO'!$C$1,'OPĆI DIO'!$N$4:$W$137,9,FALSE))</f>
        <v>Sveučilišta i veleučilišta u Republici Hrvatskoj</v>
      </c>
      <c r="C250" s="50">
        <v>43</v>
      </c>
      <c r="D250" s="45" t="str">
        <f t="shared" si="38"/>
        <v>Ostali prihodi za posebne namjene</v>
      </c>
      <c r="E250" s="50">
        <v>3431</v>
      </c>
      <c r="F250" s="45" t="str">
        <f t="shared" si="39"/>
        <v>Bankarske usluge i usluge platnog prometa</v>
      </c>
      <c r="G250" s="82" t="s">
        <v>176</v>
      </c>
      <c r="H250" s="45" t="str">
        <f t="shared" si="40"/>
        <v>REDOVNA DJELATNOST SVEUČILIŠTA U OSIJEKU (IZ EVIDENCIJSKIH PRIHODA)</v>
      </c>
      <c r="I250" s="45" t="str">
        <f t="shared" si="41"/>
        <v>0942</v>
      </c>
      <c r="J250" s="81">
        <v>3200</v>
      </c>
      <c r="K250" s="81">
        <v>3200</v>
      </c>
      <c r="L250" s="81">
        <v>3200</v>
      </c>
      <c r="M250" s="49"/>
      <c r="N250" s="246" t="str">
        <f>IF(C250="","",'OPĆI DIO'!$C$1)</f>
        <v>2452 SVEUČILIŠTE J. J. STROSSMAYERA U OSIJEKU</v>
      </c>
      <c r="O250" s="40" t="str">
        <f t="shared" si="42"/>
        <v>343</v>
      </c>
      <c r="P250" s="40" t="str">
        <f t="shared" si="43"/>
        <v>34</v>
      </c>
      <c r="Q250" s="40" t="str">
        <f t="shared" si="44"/>
        <v>43</v>
      </c>
      <c r="R250" s="40" t="str">
        <f t="shared" si="45"/>
        <v>94</v>
      </c>
      <c r="S250" s="40" t="str">
        <f t="shared" si="46"/>
        <v>3</v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>08006</v>
      </c>
      <c r="B251" s="44" t="str">
        <f>IF(C251="","",VLOOKUP('OPĆI DIO'!$C$1,'OPĆI DIO'!$N$4:$W$137,9,FALSE))</f>
        <v>Sveučilišta i veleučilišta u Republici Hrvatskoj</v>
      </c>
      <c r="C251" s="50">
        <v>43</v>
      </c>
      <c r="D251" s="45" t="str">
        <f t="shared" si="38"/>
        <v>Ostali prihodi za posebne namjene</v>
      </c>
      <c r="E251" s="50">
        <v>3721</v>
      </c>
      <c r="F251" s="45" t="str">
        <f t="shared" si="39"/>
        <v>Naknade građanima i kućanstvima u novcu</v>
      </c>
      <c r="G251" s="82" t="s">
        <v>176</v>
      </c>
      <c r="H251" s="45" t="str">
        <f t="shared" si="40"/>
        <v>REDOVNA DJELATNOST SVEUČILIŠTA U OSIJEKU (IZ EVIDENCIJSKIH PRIHODA)</v>
      </c>
      <c r="I251" s="45" t="str">
        <f t="shared" si="41"/>
        <v>0942</v>
      </c>
      <c r="J251" s="81">
        <v>2000</v>
      </c>
      <c r="K251" s="81">
        <v>2000</v>
      </c>
      <c r="L251" s="81">
        <v>2000</v>
      </c>
      <c r="M251" s="49"/>
      <c r="N251" s="246" t="str">
        <f>IF(C251="","",'OPĆI DIO'!$C$1)</f>
        <v>2452 SVEUČILIŠTE J. J. STROSSMAYERA U OSIJEKU</v>
      </c>
      <c r="O251" s="40" t="str">
        <f t="shared" si="42"/>
        <v>372</v>
      </c>
      <c r="P251" s="40" t="str">
        <f t="shared" si="43"/>
        <v>37</v>
      </c>
      <c r="Q251" s="40" t="str">
        <f t="shared" si="44"/>
        <v>43</v>
      </c>
      <c r="R251" s="40" t="str">
        <f t="shared" si="45"/>
        <v>94</v>
      </c>
      <c r="S251" s="40" t="str">
        <f t="shared" si="46"/>
        <v>3</v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>08006</v>
      </c>
      <c r="B252" s="44" t="str">
        <f>IF(C252="","",VLOOKUP('OPĆI DIO'!$C$1,'OPĆI DIO'!$N$4:$W$137,9,FALSE))</f>
        <v>Sveučilišta i veleučilišta u Republici Hrvatskoj</v>
      </c>
      <c r="C252" s="50">
        <v>43</v>
      </c>
      <c r="D252" s="45" t="str">
        <f t="shared" si="38"/>
        <v>Ostali prihodi za posebne namjene</v>
      </c>
      <c r="E252" s="50">
        <v>4221</v>
      </c>
      <c r="F252" s="45" t="str">
        <f t="shared" si="39"/>
        <v>Uredska oprema i namještaj</v>
      </c>
      <c r="G252" s="82" t="s">
        <v>176</v>
      </c>
      <c r="H252" s="45" t="str">
        <f t="shared" si="40"/>
        <v>REDOVNA DJELATNOST SVEUČILIŠTA U OSIJEKU (IZ EVIDENCIJSKIH PRIHODA)</v>
      </c>
      <c r="I252" s="45" t="str">
        <f t="shared" si="41"/>
        <v>0942</v>
      </c>
      <c r="J252" s="81">
        <v>2000</v>
      </c>
      <c r="K252" s="81">
        <v>2000</v>
      </c>
      <c r="L252" s="81">
        <v>2000</v>
      </c>
      <c r="M252" s="49"/>
      <c r="N252" s="246" t="str">
        <f>IF(C252="","",'OPĆI DIO'!$C$1)</f>
        <v>2452 SVEUČILIŠTE J. J. STROSSMAYERA U OSIJEKU</v>
      </c>
      <c r="O252" s="40" t="str">
        <f t="shared" si="42"/>
        <v>422</v>
      </c>
      <c r="P252" s="40" t="str">
        <f t="shared" si="43"/>
        <v>42</v>
      </c>
      <c r="Q252" s="40" t="str">
        <f t="shared" si="44"/>
        <v>43</v>
      </c>
      <c r="R252" s="40" t="str">
        <f t="shared" si="45"/>
        <v>94</v>
      </c>
      <c r="S252" s="40" t="str">
        <f t="shared" si="46"/>
        <v>4</v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>08006</v>
      </c>
      <c r="B253" s="44" t="str">
        <f>IF(C253="","",VLOOKUP('OPĆI DIO'!$C$1,'OPĆI DIO'!$N$4:$W$137,9,FALSE))</f>
        <v>Sveučilišta i veleučilišta u Republici Hrvatskoj</v>
      </c>
      <c r="C253" s="50">
        <v>43</v>
      </c>
      <c r="D253" s="45" t="str">
        <f t="shared" si="38"/>
        <v>Ostali prihodi za posebne namjene</v>
      </c>
      <c r="E253" s="50">
        <v>4223</v>
      </c>
      <c r="F253" s="45" t="str">
        <f t="shared" si="39"/>
        <v>Oprema za održavanje i zaštitu</v>
      </c>
      <c r="G253" s="82" t="s">
        <v>176</v>
      </c>
      <c r="H253" s="45" t="str">
        <f t="shared" si="40"/>
        <v>REDOVNA DJELATNOST SVEUČILIŠTA U OSIJEKU (IZ EVIDENCIJSKIH PRIHODA)</v>
      </c>
      <c r="I253" s="45" t="str">
        <f t="shared" si="41"/>
        <v>0942</v>
      </c>
      <c r="J253" s="81">
        <v>1000</v>
      </c>
      <c r="K253" s="81">
        <v>1000</v>
      </c>
      <c r="L253" s="81">
        <v>1000</v>
      </c>
      <c r="M253" s="49"/>
      <c r="N253" s="246" t="str">
        <f>IF(C253="","",'OPĆI DIO'!$C$1)</f>
        <v>2452 SVEUČILIŠTE J. J. STROSSMAYERA U OSIJEKU</v>
      </c>
      <c r="O253" s="40" t="str">
        <f t="shared" si="42"/>
        <v>422</v>
      </c>
      <c r="P253" s="40" t="str">
        <f t="shared" si="43"/>
        <v>42</v>
      </c>
      <c r="Q253" s="40" t="str">
        <f t="shared" si="44"/>
        <v>43</v>
      </c>
      <c r="R253" s="40" t="str">
        <f t="shared" si="45"/>
        <v>94</v>
      </c>
      <c r="S253" s="40" t="str">
        <f t="shared" si="46"/>
        <v>4</v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>08006</v>
      </c>
      <c r="B254" s="44" t="str">
        <f>IF(C254="","",VLOOKUP('OPĆI DIO'!$C$1,'OPĆI DIO'!$N$4:$W$137,9,FALSE))</f>
        <v>Sveučilišta i veleučilišta u Republici Hrvatskoj</v>
      </c>
      <c r="C254" s="50">
        <v>43</v>
      </c>
      <c r="D254" s="45" t="str">
        <f t="shared" si="38"/>
        <v>Ostali prihodi za posebne namjene</v>
      </c>
      <c r="E254" s="50">
        <v>4224</v>
      </c>
      <c r="F254" s="45" t="str">
        <f t="shared" si="39"/>
        <v>Medicinska i laboratorijska oprema</v>
      </c>
      <c r="G254" s="82" t="s">
        <v>176</v>
      </c>
      <c r="H254" s="45" t="str">
        <f t="shared" si="40"/>
        <v>REDOVNA DJELATNOST SVEUČILIŠTA U OSIJEKU (IZ EVIDENCIJSKIH PRIHODA)</v>
      </c>
      <c r="I254" s="45" t="str">
        <f t="shared" si="41"/>
        <v>0942</v>
      </c>
      <c r="J254" s="81">
        <v>6000</v>
      </c>
      <c r="K254" s="81">
        <v>4000</v>
      </c>
      <c r="L254" s="81">
        <v>4000</v>
      </c>
      <c r="M254" s="49"/>
      <c r="N254" s="246" t="str">
        <f>IF(C254="","",'OPĆI DIO'!$C$1)</f>
        <v>2452 SVEUČILIŠTE J. J. STROSSMAYERA U OSIJEKU</v>
      </c>
      <c r="O254" s="40" t="str">
        <f t="shared" si="42"/>
        <v>422</v>
      </c>
      <c r="P254" s="40" t="str">
        <f t="shared" si="43"/>
        <v>42</v>
      </c>
      <c r="Q254" s="40" t="str">
        <f t="shared" si="44"/>
        <v>43</v>
      </c>
      <c r="R254" s="40" t="str">
        <f t="shared" si="45"/>
        <v>94</v>
      </c>
      <c r="S254" s="40" t="str">
        <f t="shared" si="46"/>
        <v>4</v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>08006</v>
      </c>
      <c r="B255" s="44" t="str">
        <f>IF(C255="","",VLOOKUP('OPĆI DIO'!$C$1,'OPĆI DIO'!$N$4:$W$137,9,FALSE))</f>
        <v>Sveučilišta i veleučilišta u Republici Hrvatskoj</v>
      </c>
      <c r="C255" s="50">
        <v>43</v>
      </c>
      <c r="D255" s="45" t="str">
        <f t="shared" si="38"/>
        <v>Ostali prihodi za posebne namjene</v>
      </c>
      <c r="E255" s="50">
        <v>4241</v>
      </c>
      <c r="F255" s="45" t="str">
        <f t="shared" si="39"/>
        <v>Knjige</v>
      </c>
      <c r="G255" s="82" t="s">
        <v>176</v>
      </c>
      <c r="H255" s="45" t="str">
        <f t="shared" si="40"/>
        <v>REDOVNA DJELATNOST SVEUČILIŠTA U OSIJEKU (IZ EVIDENCIJSKIH PRIHODA)</v>
      </c>
      <c r="I255" s="45" t="str">
        <f t="shared" si="41"/>
        <v>0942</v>
      </c>
      <c r="J255" s="81">
        <v>300</v>
      </c>
      <c r="K255" s="81">
        <v>300</v>
      </c>
      <c r="L255" s="81">
        <v>300</v>
      </c>
      <c r="M255" s="49"/>
      <c r="N255" s="246" t="str">
        <f>IF(C255="","",'OPĆI DIO'!$C$1)</f>
        <v>2452 SVEUČILIŠTE J. J. STROSSMAYERA U OSIJEKU</v>
      </c>
      <c r="O255" s="40" t="str">
        <f t="shared" si="42"/>
        <v>424</v>
      </c>
      <c r="P255" s="40" t="str">
        <f t="shared" si="43"/>
        <v>42</v>
      </c>
      <c r="Q255" s="40" t="str">
        <f t="shared" si="44"/>
        <v>43</v>
      </c>
      <c r="R255" s="40" t="str">
        <f t="shared" si="45"/>
        <v>94</v>
      </c>
      <c r="S255" s="40" t="str">
        <f t="shared" si="46"/>
        <v>4</v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>08006</v>
      </c>
      <c r="B256" s="44" t="str">
        <f>IF(C256="","",VLOOKUP('OPĆI DIO'!$C$1,'OPĆI DIO'!$N$4:$W$137,9,FALSE))</f>
        <v>Sveučilišta i veleučilišta u Republici Hrvatskoj</v>
      </c>
      <c r="C256" s="50">
        <v>52</v>
      </c>
      <c r="D256" s="45" t="str">
        <f t="shared" si="38"/>
        <v>Ostale pomoći</v>
      </c>
      <c r="E256" s="50">
        <v>3111</v>
      </c>
      <c r="F256" s="45" t="str">
        <f t="shared" si="39"/>
        <v>Plaće za redovan rad</v>
      </c>
      <c r="G256" s="82" t="s">
        <v>176</v>
      </c>
      <c r="H256" s="45" t="str">
        <f t="shared" si="40"/>
        <v>REDOVNA DJELATNOST SVEUČILIŠTA U OSIJEKU (IZ EVIDENCIJSKIH PRIHODA)</v>
      </c>
      <c r="I256" s="45" t="str">
        <f t="shared" si="41"/>
        <v>0942</v>
      </c>
      <c r="J256" s="81">
        <v>18600</v>
      </c>
      <c r="K256" s="81">
        <v>0</v>
      </c>
      <c r="L256" s="81">
        <v>0</v>
      </c>
      <c r="M256" s="49"/>
      <c r="N256" s="246" t="str">
        <f>IF(C256="","",'OPĆI DIO'!$C$1)</f>
        <v>2452 SVEUČILIŠTE J. J. STROSSMAYERA U OSIJEKU</v>
      </c>
      <c r="O256" s="40" t="str">
        <f t="shared" si="42"/>
        <v>311</v>
      </c>
      <c r="P256" s="40" t="str">
        <f t="shared" si="43"/>
        <v>31</v>
      </c>
      <c r="Q256" s="40" t="str">
        <f t="shared" si="44"/>
        <v>52</v>
      </c>
      <c r="R256" s="40" t="str">
        <f t="shared" si="45"/>
        <v>94</v>
      </c>
      <c r="S256" s="40" t="str">
        <f t="shared" si="46"/>
        <v>3</v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>08006</v>
      </c>
      <c r="B257" s="44" t="str">
        <f>IF(C257="","",VLOOKUP('OPĆI DIO'!$C$1,'OPĆI DIO'!$N$4:$W$137,9,FALSE))</f>
        <v>Sveučilišta i veleučilišta u Republici Hrvatskoj</v>
      </c>
      <c r="C257" s="50">
        <v>52</v>
      </c>
      <c r="D257" s="45" t="str">
        <f t="shared" si="38"/>
        <v>Ostale pomoći</v>
      </c>
      <c r="E257" s="50">
        <v>3121</v>
      </c>
      <c r="F257" s="45" t="str">
        <f t="shared" si="39"/>
        <v>Ostali rashodi za zaposlene</v>
      </c>
      <c r="G257" s="82" t="s">
        <v>176</v>
      </c>
      <c r="H257" s="45" t="str">
        <f t="shared" si="40"/>
        <v>REDOVNA DJELATNOST SVEUČILIŠTA U OSIJEKU (IZ EVIDENCIJSKIH PRIHODA)</v>
      </c>
      <c r="I257" s="45" t="str">
        <f t="shared" si="41"/>
        <v>0942</v>
      </c>
      <c r="J257" s="81">
        <v>600</v>
      </c>
      <c r="K257" s="81">
        <v>0</v>
      </c>
      <c r="L257" s="81">
        <v>0</v>
      </c>
      <c r="M257" s="49"/>
      <c r="N257" s="246" t="str">
        <f>IF(C257="","",'OPĆI DIO'!$C$1)</f>
        <v>2452 SVEUČILIŠTE J. J. STROSSMAYERA U OSIJEKU</v>
      </c>
      <c r="O257" s="40" t="str">
        <f t="shared" si="42"/>
        <v>312</v>
      </c>
      <c r="P257" s="40" t="str">
        <f t="shared" si="43"/>
        <v>31</v>
      </c>
      <c r="Q257" s="40" t="str">
        <f t="shared" si="44"/>
        <v>52</v>
      </c>
      <c r="R257" s="40" t="str">
        <f t="shared" si="45"/>
        <v>94</v>
      </c>
      <c r="S257" s="40" t="str">
        <f t="shared" si="46"/>
        <v>3</v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>08006</v>
      </c>
      <c r="B258" s="44" t="str">
        <f>IF(C258="","",VLOOKUP('OPĆI DIO'!$C$1,'OPĆI DIO'!$N$4:$W$137,9,FALSE))</f>
        <v>Sveučilišta i veleučilišta u Republici Hrvatskoj</v>
      </c>
      <c r="C258" s="50">
        <v>52</v>
      </c>
      <c r="D258" s="45" t="str">
        <f t="shared" si="38"/>
        <v>Ostale pomoći</v>
      </c>
      <c r="E258" s="50">
        <v>3132</v>
      </c>
      <c r="F258" s="45" t="str">
        <f t="shared" si="39"/>
        <v>Doprinosi za obvezno zdravstveno osiguranje</v>
      </c>
      <c r="G258" s="82" t="s">
        <v>176</v>
      </c>
      <c r="H258" s="45" t="str">
        <f t="shared" si="40"/>
        <v>REDOVNA DJELATNOST SVEUČILIŠTA U OSIJEKU (IZ EVIDENCIJSKIH PRIHODA)</v>
      </c>
      <c r="I258" s="45" t="str">
        <f t="shared" si="41"/>
        <v>0942</v>
      </c>
      <c r="J258" s="81">
        <v>3800</v>
      </c>
      <c r="K258" s="81">
        <v>0</v>
      </c>
      <c r="L258" s="81">
        <v>0</v>
      </c>
      <c r="M258" s="49"/>
      <c r="N258" s="246" t="str">
        <f>IF(C258="","",'OPĆI DIO'!$C$1)</f>
        <v>2452 SVEUČILIŠTE J. J. STROSSMAYERA U OSIJEKU</v>
      </c>
      <c r="O258" s="40" t="str">
        <f t="shared" si="42"/>
        <v>313</v>
      </c>
      <c r="P258" s="40" t="str">
        <f t="shared" si="43"/>
        <v>31</v>
      </c>
      <c r="Q258" s="40" t="str">
        <f t="shared" si="44"/>
        <v>52</v>
      </c>
      <c r="R258" s="40" t="str">
        <f t="shared" si="45"/>
        <v>94</v>
      </c>
      <c r="S258" s="40" t="str">
        <f t="shared" si="46"/>
        <v>3</v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>08006</v>
      </c>
      <c r="B259" s="44" t="str">
        <f>IF(C259="","",VLOOKUP('OPĆI DIO'!$C$1,'OPĆI DIO'!$N$4:$W$137,9,FALSE))</f>
        <v>Sveučilišta i veleučilišta u Republici Hrvatskoj</v>
      </c>
      <c r="C259" s="50">
        <v>11</v>
      </c>
      <c r="D259" s="45" t="str">
        <f t="shared" ref="D259:D322" si="47">IFERROR(VLOOKUP(C259,$T$6:$U$24,2,FALSE),"")</f>
        <v>Opći prihodi i primici</v>
      </c>
      <c r="E259" s="50">
        <v>3111</v>
      </c>
      <c r="F259" s="45" t="str">
        <f t="shared" si="39"/>
        <v>Plaće za redovan rad</v>
      </c>
      <c r="G259" s="323" t="s">
        <v>60</v>
      </c>
      <c r="H259" s="45" t="str">
        <f t="shared" si="40"/>
        <v>REDOVNA DJELATNOST SVEUČILIŠTA U OSIJEKU</v>
      </c>
      <c r="I259" s="45" t="str">
        <f t="shared" si="41"/>
        <v>0942</v>
      </c>
      <c r="J259" s="81">
        <v>834455</v>
      </c>
      <c r="K259" s="81">
        <v>838544</v>
      </c>
      <c r="L259" s="81">
        <v>842732</v>
      </c>
      <c r="M259" s="49"/>
      <c r="N259" s="246" t="str">
        <f>IF(C259="","",'OPĆI DIO'!$C$1)</f>
        <v>2452 SVEUČILIŠTE J. J. STROSSMAYERA U OSIJEKU</v>
      </c>
      <c r="O259" s="40" t="str">
        <f t="shared" si="42"/>
        <v>311</v>
      </c>
      <c r="P259" s="40" t="str">
        <f t="shared" si="43"/>
        <v>31</v>
      </c>
      <c r="Q259" s="40" t="str">
        <f t="shared" si="44"/>
        <v>11</v>
      </c>
      <c r="R259" s="40" t="str">
        <f t="shared" si="45"/>
        <v>94</v>
      </c>
      <c r="S259" s="40" t="str">
        <f t="shared" si="46"/>
        <v>3</v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>08006</v>
      </c>
      <c r="B260" s="44" t="str">
        <f>IF(C260="","",VLOOKUP('OPĆI DIO'!$C$1,'OPĆI DIO'!$N$4:$W$137,9,FALSE))</f>
        <v>Sveučilišta i veleučilišta u Republici Hrvatskoj</v>
      </c>
      <c r="C260" s="50">
        <v>11</v>
      </c>
      <c r="D260" s="45" t="str">
        <f t="shared" si="47"/>
        <v>Opći prihodi i primici</v>
      </c>
      <c r="E260" s="50">
        <v>3121</v>
      </c>
      <c r="F260" s="45" t="str">
        <f t="shared" ref="F260:F323" si="48">IFERROR(VLOOKUP(E260,$W$5:$Y$129,2,FALSE),"")</f>
        <v>Ostali rashodi za zaposlene</v>
      </c>
      <c r="G260" s="323" t="s">
        <v>60</v>
      </c>
      <c r="H260" s="45" t="str">
        <f t="shared" ref="H260:H323" si="49">IFERROR(VLOOKUP(G260,$AC$6:$AD$344,2,FALSE),"")</f>
        <v>REDOVNA DJELATNOST SVEUČILIŠTA U OSIJEKU</v>
      </c>
      <c r="I260" s="45" t="str">
        <f t="shared" ref="I260:I323" si="50">IFERROR(VLOOKUP(G260,$AC$6:$AG$344,3,FALSE),"")</f>
        <v>0942</v>
      </c>
      <c r="J260" s="81">
        <v>23922</v>
      </c>
      <c r="K260" s="81">
        <v>24039</v>
      </c>
      <c r="L260" s="81">
        <v>24157</v>
      </c>
      <c r="M260" s="49"/>
      <c r="N260" s="246" t="str">
        <f>IF(C260="","",'OPĆI DIO'!$C$1)</f>
        <v>2452 SVEUČILIŠTE J. J. STROSSMAYERA U OSIJEKU</v>
      </c>
      <c r="O260" s="40" t="str">
        <f t="shared" ref="O260:O323" si="51">LEFT(E260,3)</f>
        <v>312</v>
      </c>
      <c r="P260" s="40" t="str">
        <f t="shared" ref="P260:P323" si="52">LEFT(E260,2)</f>
        <v>31</v>
      </c>
      <c r="Q260" s="40" t="str">
        <f t="shared" ref="Q260:Q323" si="53">LEFT(C260,3)</f>
        <v>11</v>
      </c>
      <c r="R260" s="40" t="str">
        <f t="shared" ref="R260:R323" si="54">MID(I260,2,2)</f>
        <v>94</v>
      </c>
      <c r="S260" s="40" t="str">
        <f t="shared" ref="S260:S323" si="55">LEFT(E260,1)</f>
        <v>3</v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>08006</v>
      </c>
      <c r="B261" s="44" t="str">
        <f>IF(C261="","",VLOOKUP('OPĆI DIO'!$C$1,'OPĆI DIO'!$N$4:$W$137,9,FALSE))</f>
        <v>Sveučilišta i veleučilišta u Republici Hrvatskoj</v>
      </c>
      <c r="C261" s="50">
        <v>11</v>
      </c>
      <c r="D261" s="45" t="str">
        <f t="shared" si="47"/>
        <v>Opći prihodi i primici</v>
      </c>
      <c r="E261" s="50">
        <v>3132</v>
      </c>
      <c r="F261" s="45" t="str">
        <f t="shared" si="48"/>
        <v>Doprinosi za obvezno zdravstveno osiguranje</v>
      </c>
      <c r="G261" s="323" t="s">
        <v>60</v>
      </c>
      <c r="H261" s="45" t="str">
        <f t="shared" si="49"/>
        <v>REDOVNA DJELATNOST SVEUČILIŠTA U OSIJEKU</v>
      </c>
      <c r="I261" s="45" t="str">
        <f t="shared" si="50"/>
        <v>0942</v>
      </c>
      <c r="J261" s="81">
        <v>207179</v>
      </c>
      <c r="K261" s="81">
        <v>208190</v>
      </c>
      <c r="L261" s="81">
        <v>209213</v>
      </c>
      <c r="M261" s="49"/>
      <c r="N261" s="246" t="str">
        <f>IF(C261="","",'OPĆI DIO'!$C$1)</f>
        <v>2452 SVEUČILIŠTE J. J. STROSSMAYERA U OSIJEKU</v>
      </c>
      <c r="O261" s="40" t="str">
        <f t="shared" si="51"/>
        <v>313</v>
      </c>
      <c r="P261" s="40" t="str">
        <f t="shared" si="52"/>
        <v>31</v>
      </c>
      <c r="Q261" s="40" t="str">
        <f t="shared" si="53"/>
        <v>11</v>
      </c>
      <c r="R261" s="40" t="str">
        <f t="shared" si="54"/>
        <v>94</v>
      </c>
      <c r="S261" s="40" t="str">
        <f t="shared" si="55"/>
        <v>3</v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>08006</v>
      </c>
      <c r="B262" s="44" t="str">
        <f>IF(C262="","",VLOOKUP('OPĆI DIO'!$C$1,'OPĆI DIO'!$N$4:$W$137,9,FALSE))</f>
        <v>Sveučilišta i veleučilišta u Republici Hrvatskoj</v>
      </c>
      <c r="C262" s="50">
        <v>11</v>
      </c>
      <c r="D262" s="45" t="str">
        <f t="shared" si="47"/>
        <v>Opći prihodi i primici</v>
      </c>
      <c r="E262" s="50">
        <v>3212</v>
      </c>
      <c r="F262" s="45" t="str">
        <f t="shared" si="48"/>
        <v>Naknade za prijevoz, za rad na terenu i odvojeni život</v>
      </c>
      <c r="G262" s="323" t="s">
        <v>60</v>
      </c>
      <c r="H262" s="45" t="str">
        <f t="shared" si="49"/>
        <v>REDOVNA DJELATNOST SVEUČILIŠTA U OSIJEKU</v>
      </c>
      <c r="I262" s="45" t="str">
        <f t="shared" si="50"/>
        <v>0942</v>
      </c>
      <c r="J262" s="81">
        <v>11192</v>
      </c>
      <c r="K262" s="81">
        <v>11247</v>
      </c>
      <c r="L262" s="81">
        <v>11302</v>
      </c>
      <c r="M262" s="49"/>
      <c r="N262" s="246" t="str">
        <f>IF(C262="","",'OPĆI DIO'!$C$1)</f>
        <v>2452 SVEUČILIŠTE J. J. STROSSMAYERA U OSIJEKU</v>
      </c>
      <c r="O262" s="40" t="str">
        <f t="shared" si="51"/>
        <v>321</v>
      </c>
      <c r="P262" s="40" t="str">
        <f t="shared" si="52"/>
        <v>32</v>
      </c>
      <c r="Q262" s="40" t="str">
        <f t="shared" si="53"/>
        <v>11</v>
      </c>
      <c r="R262" s="40" t="str">
        <f t="shared" si="54"/>
        <v>94</v>
      </c>
      <c r="S262" s="40" t="str">
        <f t="shared" si="55"/>
        <v>3</v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>08006</v>
      </c>
      <c r="B263" s="44" t="str">
        <f>IF(C263="","",VLOOKUP('OPĆI DIO'!$C$1,'OPĆI DIO'!$N$4:$W$137,9,FALSE))</f>
        <v>Sveučilišta i veleučilišta u Republici Hrvatskoj</v>
      </c>
      <c r="C263" s="50">
        <v>11</v>
      </c>
      <c r="D263" s="45" t="str">
        <f t="shared" si="47"/>
        <v>Opći prihodi i primici</v>
      </c>
      <c r="E263" s="50">
        <v>3236</v>
      </c>
      <c r="F263" s="45" t="str">
        <f t="shared" si="48"/>
        <v>Zdravstvene i veterinarske usluge</v>
      </c>
      <c r="G263" s="323" t="s">
        <v>60</v>
      </c>
      <c r="H263" s="45" t="str">
        <f t="shared" si="49"/>
        <v>REDOVNA DJELATNOST SVEUČILIŠTA U OSIJEKU</v>
      </c>
      <c r="I263" s="45" t="str">
        <f t="shared" si="50"/>
        <v>0942</v>
      </c>
      <c r="J263" s="81">
        <v>3002</v>
      </c>
      <c r="K263" s="81">
        <v>3017</v>
      </c>
      <c r="L263" s="81">
        <v>3032</v>
      </c>
      <c r="M263" s="49"/>
      <c r="N263" s="246" t="str">
        <f>IF(C263="","",'OPĆI DIO'!$C$1)</f>
        <v>2452 SVEUČILIŠTE J. J. STROSSMAYERA U OSIJEKU</v>
      </c>
      <c r="O263" s="40" t="str">
        <f t="shared" si="51"/>
        <v>323</v>
      </c>
      <c r="P263" s="40" t="str">
        <f t="shared" si="52"/>
        <v>32</v>
      </c>
      <c r="Q263" s="40" t="str">
        <f t="shared" si="53"/>
        <v>11</v>
      </c>
      <c r="R263" s="40" t="str">
        <f t="shared" si="54"/>
        <v>94</v>
      </c>
      <c r="S263" s="40" t="str">
        <f t="shared" si="55"/>
        <v>3</v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>08006</v>
      </c>
      <c r="B264" s="44" t="str">
        <f>IF(C264="","",VLOOKUP('OPĆI DIO'!$C$1,'OPĆI DIO'!$N$4:$W$137,9,FALSE))</f>
        <v>Sveučilišta i veleučilišta u Republici Hrvatskoj</v>
      </c>
      <c r="C264" s="50">
        <v>11</v>
      </c>
      <c r="D264" s="45" t="str">
        <f t="shared" si="47"/>
        <v>Opći prihodi i primici</v>
      </c>
      <c r="E264" s="50">
        <v>3114</v>
      </c>
      <c r="F264" s="45" t="str">
        <f t="shared" si="48"/>
        <v>Plaće za posebne uvjete rada</v>
      </c>
      <c r="G264" s="323" t="s">
        <v>60</v>
      </c>
      <c r="H264" s="45" t="str">
        <f t="shared" si="49"/>
        <v>REDOVNA DJELATNOST SVEUČILIŠTA U OSIJEKU</v>
      </c>
      <c r="I264" s="45" t="str">
        <f t="shared" si="50"/>
        <v>0942</v>
      </c>
      <c r="J264" s="81">
        <v>1667</v>
      </c>
      <c r="K264" s="81">
        <v>1675</v>
      </c>
      <c r="L264" s="81">
        <v>1675</v>
      </c>
      <c r="M264" s="49"/>
      <c r="N264" s="246" t="str">
        <f>IF(C264="","",'OPĆI DIO'!$C$1)</f>
        <v>2452 SVEUČILIŠTE J. J. STROSSMAYERA U OSIJEKU</v>
      </c>
      <c r="O264" s="40" t="str">
        <f t="shared" si="51"/>
        <v>311</v>
      </c>
      <c r="P264" s="40" t="str">
        <f t="shared" si="52"/>
        <v>31</v>
      </c>
      <c r="Q264" s="40" t="str">
        <f t="shared" si="53"/>
        <v>11</v>
      </c>
      <c r="R264" s="40" t="str">
        <f t="shared" si="54"/>
        <v>94</v>
      </c>
      <c r="S264" s="40" t="str">
        <f t="shared" si="55"/>
        <v>3</v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>08006</v>
      </c>
      <c r="B265" s="44" t="str">
        <f>IF(C265="","",VLOOKUP('OPĆI DIO'!$C$1,'OPĆI DIO'!$N$4:$W$137,9,FALSE))</f>
        <v>Sveučilišta i veleučilišta u Republici Hrvatskoj</v>
      </c>
      <c r="C265" s="50">
        <v>11</v>
      </c>
      <c r="D265" s="45" t="str">
        <f t="shared" si="47"/>
        <v>Opći prihodi i primici</v>
      </c>
      <c r="E265" s="50">
        <v>3237</v>
      </c>
      <c r="F265" s="45" t="str">
        <f t="shared" si="48"/>
        <v>Intelektualne i osobne usluge</v>
      </c>
      <c r="G265" s="323" t="s">
        <v>667</v>
      </c>
      <c r="H265" s="45" t="str">
        <f t="shared" si="49"/>
        <v>PROGRAMI VJEŽBAONICA VISOKIH UČILIŠTA</v>
      </c>
      <c r="I265" s="45" t="str">
        <f t="shared" si="50"/>
        <v>0942</v>
      </c>
      <c r="J265" s="81">
        <v>9091</v>
      </c>
      <c r="K265" s="81">
        <v>9091</v>
      </c>
      <c r="L265" s="81">
        <v>9091</v>
      </c>
      <c r="M265" s="49"/>
      <c r="N265" s="246" t="str">
        <f>IF(C265="","",'OPĆI DIO'!$C$1)</f>
        <v>2452 SVEUČILIŠTE J. J. STROSSMAYERA U OSIJEKU</v>
      </c>
      <c r="O265" s="40" t="str">
        <f t="shared" si="51"/>
        <v>323</v>
      </c>
      <c r="P265" s="40" t="str">
        <f t="shared" si="52"/>
        <v>32</v>
      </c>
      <c r="Q265" s="40" t="str">
        <f t="shared" si="53"/>
        <v>11</v>
      </c>
      <c r="R265" s="40" t="str">
        <f t="shared" si="54"/>
        <v>94</v>
      </c>
      <c r="S265" s="40" t="str">
        <f t="shared" si="55"/>
        <v>3</v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>08006</v>
      </c>
      <c r="B266" s="44" t="str">
        <f>IF(C266="","",VLOOKUP('OPĆI DIO'!$C$1,'OPĆI DIO'!$N$4:$W$137,9,FALSE))</f>
        <v>Sveučilišta i veleučilišta u Republici Hrvatskoj</v>
      </c>
      <c r="C266" s="50">
        <v>11</v>
      </c>
      <c r="D266" s="45" t="str">
        <f t="shared" si="47"/>
        <v>Opći prihodi i primici</v>
      </c>
      <c r="E266" s="50">
        <v>3211</v>
      </c>
      <c r="F266" s="45" t="str">
        <f t="shared" si="48"/>
        <v>Službena putovanja</v>
      </c>
      <c r="G266" s="323" t="s">
        <v>665</v>
      </c>
      <c r="H266" s="45" t="str">
        <f t="shared" si="49"/>
        <v>PROGRAMSKO FINANCIRANJE JAVNIH VISOKIH UČILIŠTA</v>
      </c>
      <c r="I266" s="45" t="str">
        <f t="shared" si="50"/>
        <v>0942</v>
      </c>
      <c r="J266" s="81">
        <v>15000</v>
      </c>
      <c r="K266" s="81">
        <v>15000</v>
      </c>
      <c r="L266" s="81">
        <v>15000</v>
      </c>
      <c r="M266" s="49"/>
      <c r="N266" s="246" t="str">
        <f>IF(C266="","",'OPĆI DIO'!$C$1)</f>
        <v>2452 SVEUČILIŠTE J. J. STROSSMAYERA U OSIJEKU</v>
      </c>
      <c r="O266" s="40" t="str">
        <f t="shared" si="51"/>
        <v>321</v>
      </c>
      <c r="P266" s="40" t="str">
        <f t="shared" si="52"/>
        <v>32</v>
      </c>
      <c r="Q266" s="40" t="str">
        <f t="shared" si="53"/>
        <v>11</v>
      </c>
      <c r="R266" s="40" t="str">
        <f t="shared" si="54"/>
        <v>94</v>
      </c>
      <c r="S266" s="40" t="str">
        <f t="shared" si="55"/>
        <v>3</v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>08006</v>
      </c>
      <c r="B267" s="44" t="str">
        <f>IF(C267="","",VLOOKUP('OPĆI DIO'!$C$1,'OPĆI DIO'!$N$4:$W$137,9,FALSE))</f>
        <v>Sveučilišta i veleučilišta u Republici Hrvatskoj</v>
      </c>
      <c r="C267" s="50">
        <v>11</v>
      </c>
      <c r="D267" s="45" t="str">
        <f t="shared" si="47"/>
        <v>Opći prihodi i primici</v>
      </c>
      <c r="E267" s="50">
        <v>3213</v>
      </c>
      <c r="F267" s="45" t="str">
        <f t="shared" si="48"/>
        <v>Stručno usavršavanje zaposlenika</v>
      </c>
      <c r="G267" s="323" t="s">
        <v>665</v>
      </c>
      <c r="H267" s="45" t="str">
        <f t="shared" si="49"/>
        <v>PROGRAMSKO FINANCIRANJE JAVNIH VISOKIH UČILIŠTA</v>
      </c>
      <c r="I267" s="45" t="str">
        <f t="shared" si="50"/>
        <v>0942</v>
      </c>
      <c r="J267" s="81">
        <v>3000</v>
      </c>
      <c r="K267" s="81">
        <v>3000</v>
      </c>
      <c r="L267" s="81">
        <v>3000</v>
      </c>
      <c r="M267" s="49"/>
      <c r="N267" s="246" t="str">
        <f>IF(C267="","",'OPĆI DIO'!$C$1)</f>
        <v>2452 SVEUČILIŠTE J. J. STROSSMAYERA U OSIJEKU</v>
      </c>
      <c r="O267" s="40" t="str">
        <f t="shared" si="51"/>
        <v>321</v>
      </c>
      <c r="P267" s="40" t="str">
        <f t="shared" si="52"/>
        <v>32</v>
      </c>
      <c r="Q267" s="40" t="str">
        <f t="shared" si="53"/>
        <v>11</v>
      </c>
      <c r="R267" s="40" t="str">
        <f t="shared" si="54"/>
        <v>94</v>
      </c>
      <c r="S267" s="40" t="str">
        <f t="shared" si="55"/>
        <v>3</v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>08006</v>
      </c>
      <c r="B268" s="44" t="str">
        <f>IF(C268="","",VLOOKUP('OPĆI DIO'!$C$1,'OPĆI DIO'!$N$4:$W$137,9,FALSE))</f>
        <v>Sveučilišta i veleučilišta u Republici Hrvatskoj</v>
      </c>
      <c r="C268" s="50">
        <v>11</v>
      </c>
      <c r="D268" s="45" t="str">
        <f t="shared" si="47"/>
        <v>Opći prihodi i primici</v>
      </c>
      <c r="E268" s="50">
        <v>3221</v>
      </c>
      <c r="F268" s="45" t="str">
        <f t="shared" si="48"/>
        <v>Uredski materijal i ostali materijalni rashodi</v>
      </c>
      <c r="G268" s="323" t="s">
        <v>665</v>
      </c>
      <c r="H268" s="45" t="str">
        <f t="shared" si="49"/>
        <v>PROGRAMSKO FINANCIRANJE JAVNIH VISOKIH UČILIŠTA</v>
      </c>
      <c r="I268" s="45" t="str">
        <f t="shared" si="50"/>
        <v>0942</v>
      </c>
      <c r="J268" s="81">
        <v>1000</v>
      </c>
      <c r="K268" s="81">
        <v>1000</v>
      </c>
      <c r="L268" s="81">
        <v>1000</v>
      </c>
      <c r="M268" s="49"/>
      <c r="N268" s="246" t="str">
        <f>IF(C268="","",'OPĆI DIO'!$C$1)</f>
        <v>2452 SVEUČILIŠTE J. J. STROSSMAYERA U OSIJEKU</v>
      </c>
      <c r="O268" s="40" t="str">
        <f t="shared" si="51"/>
        <v>322</v>
      </c>
      <c r="P268" s="40" t="str">
        <f t="shared" si="52"/>
        <v>32</v>
      </c>
      <c r="Q268" s="40" t="str">
        <f t="shared" si="53"/>
        <v>11</v>
      </c>
      <c r="R268" s="40" t="str">
        <f t="shared" si="54"/>
        <v>94</v>
      </c>
      <c r="S268" s="40" t="str">
        <f t="shared" si="55"/>
        <v>3</v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>08006</v>
      </c>
      <c r="B269" s="44" t="str">
        <f>IF(C269="","",VLOOKUP('OPĆI DIO'!$C$1,'OPĆI DIO'!$N$4:$W$137,9,FALSE))</f>
        <v>Sveučilišta i veleučilišta u Republici Hrvatskoj</v>
      </c>
      <c r="C269" s="50">
        <v>11</v>
      </c>
      <c r="D269" s="45" t="str">
        <f t="shared" si="47"/>
        <v>Opći prihodi i primici</v>
      </c>
      <c r="E269" s="50">
        <v>3223</v>
      </c>
      <c r="F269" s="45" t="str">
        <f t="shared" si="48"/>
        <v>Energija</v>
      </c>
      <c r="G269" s="323" t="s">
        <v>665</v>
      </c>
      <c r="H269" s="45" t="str">
        <f t="shared" si="49"/>
        <v>PROGRAMSKO FINANCIRANJE JAVNIH VISOKIH UČILIŠTA</v>
      </c>
      <c r="I269" s="45" t="str">
        <f t="shared" si="50"/>
        <v>0942</v>
      </c>
      <c r="J269" s="81">
        <v>20000</v>
      </c>
      <c r="K269" s="81">
        <v>20000</v>
      </c>
      <c r="L269" s="81">
        <v>20000</v>
      </c>
      <c r="M269" s="49"/>
      <c r="N269" s="246" t="str">
        <f>IF(C269="","",'OPĆI DIO'!$C$1)</f>
        <v>2452 SVEUČILIŠTE J. J. STROSSMAYERA U OSIJEKU</v>
      </c>
      <c r="O269" s="40" t="str">
        <f t="shared" si="51"/>
        <v>322</v>
      </c>
      <c r="P269" s="40" t="str">
        <f t="shared" si="52"/>
        <v>32</v>
      </c>
      <c r="Q269" s="40" t="str">
        <f t="shared" si="53"/>
        <v>11</v>
      </c>
      <c r="R269" s="40" t="str">
        <f t="shared" si="54"/>
        <v>94</v>
      </c>
      <c r="S269" s="40" t="str">
        <f t="shared" si="55"/>
        <v>3</v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>08006</v>
      </c>
      <c r="B270" s="44" t="str">
        <f>IF(C270="","",VLOOKUP('OPĆI DIO'!$C$1,'OPĆI DIO'!$N$4:$W$137,9,FALSE))</f>
        <v>Sveučilišta i veleučilišta u Republici Hrvatskoj</v>
      </c>
      <c r="C270" s="50">
        <v>11</v>
      </c>
      <c r="D270" s="45" t="str">
        <f t="shared" si="47"/>
        <v>Opći prihodi i primici</v>
      </c>
      <c r="E270" s="50">
        <v>3231</v>
      </c>
      <c r="F270" s="45" t="str">
        <f t="shared" si="48"/>
        <v>Usluge telefona, pošte i prijevoza</v>
      </c>
      <c r="G270" s="323" t="s">
        <v>665</v>
      </c>
      <c r="H270" s="45" t="str">
        <f t="shared" si="49"/>
        <v>PROGRAMSKO FINANCIRANJE JAVNIH VISOKIH UČILIŠTA</v>
      </c>
      <c r="I270" s="45" t="str">
        <f t="shared" si="50"/>
        <v>0942</v>
      </c>
      <c r="J270" s="81">
        <v>3000</v>
      </c>
      <c r="K270" s="81">
        <v>3000</v>
      </c>
      <c r="L270" s="81">
        <v>3000</v>
      </c>
      <c r="M270" s="49"/>
      <c r="N270" s="246" t="str">
        <f>IF(C270="","",'OPĆI DIO'!$C$1)</f>
        <v>2452 SVEUČILIŠTE J. J. STROSSMAYERA U OSIJEKU</v>
      </c>
      <c r="O270" s="40" t="str">
        <f t="shared" si="51"/>
        <v>323</v>
      </c>
      <c r="P270" s="40" t="str">
        <f t="shared" si="52"/>
        <v>32</v>
      </c>
      <c r="Q270" s="40" t="str">
        <f t="shared" si="53"/>
        <v>11</v>
      </c>
      <c r="R270" s="40" t="str">
        <f t="shared" si="54"/>
        <v>94</v>
      </c>
      <c r="S270" s="40" t="str">
        <f t="shared" si="55"/>
        <v>3</v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>08006</v>
      </c>
      <c r="B271" s="44" t="str">
        <f>IF(C271="","",VLOOKUP('OPĆI DIO'!$C$1,'OPĆI DIO'!$N$4:$W$137,9,FALSE))</f>
        <v>Sveučilišta i veleučilišta u Republici Hrvatskoj</v>
      </c>
      <c r="C271" s="50">
        <v>11</v>
      </c>
      <c r="D271" s="45" t="str">
        <f t="shared" si="47"/>
        <v>Opći prihodi i primici</v>
      </c>
      <c r="E271" s="50">
        <v>3237</v>
      </c>
      <c r="F271" s="45" t="str">
        <f t="shared" si="48"/>
        <v>Intelektualne i osobne usluge</v>
      </c>
      <c r="G271" s="323" t="s">
        <v>665</v>
      </c>
      <c r="H271" s="45" t="str">
        <f t="shared" si="49"/>
        <v>PROGRAMSKO FINANCIRANJE JAVNIH VISOKIH UČILIŠTA</v>
      </c>
      <c r="I271" s="45" t="str">
        <f t="shared" si="50"/>
        <v>0942</v>
      </c>
      <c r="J271" s="81">
        <v>4000</v>
      </c>
      <c r="K271" s="81">
        <v>4000</v>
      </c>
      <c r="L271" s="81">
        <v>4000</v>
      </c>
      <c r="M271" s="49"/>
      <c r="N271" s="246" t="str">
        <f>IF(C271="","",'OPĆI DIO'!$C$1)</f>
        <v>2452 SVEUČILIŠTE J. J. STROSSMAYERA U OSIJEKU</v>
      </c>
      <c r="O271" s="40" t="str">
        <f t="shared" si="51"/>
        <v>323</v>
      </c>
      <c r="P271" s="40" t="str">
        <f t="shared" si="52"/>
        <v>32</v>
      </c>
      <c r="Q271" s="40" t="str">
        <f t="shared" si="53"/>
        <v>11</v>
      </c>
      <c r="R271" s="40" t="str">
        <f t="shared" si="54"/>
        <v>94</v>
      </c>
      <c r="S271" s="40" t="str">
        <f t="shared" si="55"/>
        <v>3</v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>08006</v>
      </c>
      <c r="B272" s="44" t="str">
        <f>IF(C272="","",VLOOKUP('OPĆI DIO'!$C$1,'OPĆI DIO'!$N$4:$W$137,9,FALSE))</f>
        <v>Sveučilišta i veleučilišta u Republici Hrvatskoj</v>
      </c>
      <c r="C272" s="50">
        <v>11</v>
      </c>
      <c r="D272" s="45" t="str">
        <f t="shared" si="47"/>
        <v>Opći prihodi i primici</v>
      </c>
      <c r="E272" s="50">
        <v>3234</v>
      </c>
      <c r="F272" s="45" t="str">
        <f t="shared" si="48"/>
        <v>Komunalne usluge</v>
      </c>
      <c r="G272" s="323" t="s">
        <v>665</v>
      </c>
      <c r="H272" s="45" t="str">
        <f t="shared" si="49"/>
        <v>PROGRAMSKO FINANCIRANJE JAVNIH VISOKIH UČILIŠTA</v>
      </c>
      <c r="I272" s="45" t="str">
        <f t="shared" si="50"/>
        <v>0942</v>
      </c>
      <c r="J272" s="81">
        <v>1000</v>
      </c>
      <c r="K272" s="81">
        <v>1000</v>
      </c>
      <c r="L272" s="81">
        <v>1000</v>
      </c>
      <c r="M272" s="49"/>
      <c r="N272" s="246" t="str">
        <f>IF(C272="","",'OPĆI DIO'!$C$1)</f>
        <v>2452 SVEUČILIŠTE J. J. STROSSMAYERA U OSIJEKU</v>
      </c>
      <c r="O272" s="40" t="str">
        <f t="shared" si="51"/>
        <v>323</v>
      </c>
      <c r="P272" s="40" t="str">
        <f t="shared" si="52"/>
        <v>32</v>
      </c>
      <c r="Q272" s="40" t="str">
        <f t="shared" si="53"/>
        <v>11</v>
      </c>
      <c r="R272" s="40" t="str">
        <f t="shared" si="54"/>
        <v>94</v>
      </c>
      <c r="S272" s="40" t="str">
        <f t="shared" si="55"/>
        <v>3</v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>08006</v>
      </c>
      <c r="B273" s="44" t="str">
        <f>IF(C273="","",VLOOKUP('OPĆI DIO'!$C$1,'OPĆI DIO'!$N$4:$W$137,9,FALSE))</f>
        <v>Sveučilišta i veleučilišta u Republici Hrvatskoj</v>
      </c>
      <c r="C273" s="50">
        <v>11</v>
      </c>
      <c r="D273" s="45" t="str">
        <f t="shared" si="47"/>
        <v>Opći prihodi i primici</v>
      </c>
      <c r="E273" s="50">
        <v>4225</v>
      </c>
      <c r="F273" s="45" t="str">
        <f t="shared" si="48"/>
        <v>Instrumenti, uređaji i strojevi</v>
      </c>
      <c r="G273" s="323" t="s">
        <v>665</v>
      </c>
      <c r="H273" s="45" t="str">
        <f t="shared" si="49"/>
        <v>PROGRAMSKO FINANCIRANJE JAVNIH VISOKIH UČILIŠTA</v>
      </c>
      <c r="I273" s="45" t="str">
        <f t="shared" si="50"/>
        <v>0942</v>
      </c>
      <c r="J273" s="81">
        <v>300</v>
      </c>
      <c r="K273" s="81">
        <v>300</v>
      </c>
      <c r="L273" s="81">
        <v>300</v>
      </c>
      <c r="M273" s="49"/>
      <c r="N273" s="246" t="str">
        <f>IF(C273="","",'OPĆI DIO'!$C$1)</f>
        <v>2452 SVEUČILIŠTE J. J. STROSSMAYERA U OSIJEKU</v>
      </c>
      <c r="O273" s="40" t="str">
        <f t="shared" si="51"/>
        <v>422</v>
      </c>
      <c r="P273" s="40" t="str">
        <f t="shared" si="52"/>
        <v>42</v>
      </c>
      <c r="Q273" s="40" t="str">
        <f t="shared" si="53"/>
        <v>11</v>
      </c>
      <c r="R273" s="40" t="str">
        <f t="shared" si="54"/>
        <v>94</v>
      </c>
      <c r="S273" s="40" t="str">
        <f t="shared" si="55"/>
        <v>4</v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>08006</v>
      </c>
      <c r="B274" s="44" t="str">
        <f>IF(C274="","",VLOOKUP('OPĆI DIO'!$C$1,'OPĆI DIO'!$N$4:$W$137,9,FALSE))</f>
        <v>Sveučilišta i veleučilišta u Republici Hrvatskoj</v>
      </c>
      <c r="C274" s="50">
        <v>11</v>
      </c>
      <c r="D274" s="45" t="str">
        <f t="shared" si="47"/>
        <v>Opći prihodi i primici</v>
      </c>
      <c r="E274" s="50">
        <v>4241</v>
      </c>
      <c r="F274" s="45" t="str">
        <f t="shared" si="48"/>
        <v>Knjige</v>
      </c>
      <c r="G274" s="323" t="s">
        <v>665</v>
      </c>
      <c r="H274" s="45" t="str">
        <f t="shared" si="49"/>
        <v>PROGRAMSKO FINANCIRANJE JAVNIH VISOKIH UČILIŠTA</v>
      </c>
      <c r="I274" s="45" t="str">
        <f t="shared" si="50"/>
        <v>0942</v>
      </c>
      <c r="J274" s="81">
        <v>190</v>
      </c>
      <c r="K274" s="81">
        <v>190</v>
      </c>
      <c r="L274" s="81">
        <v>190</v>
      </c>
      <c r="M274" s="49"/>
      <c r="N274" s="246" t="str">
        <f>IF(C274="","",'OPĆI DIO'!$C$1)</f>
        <v>2452 SVEUČILIŠTE J. J. STROSSMAYERA U OSIJEKU</v>
      </c>
      <c r="O274" s="40" t="str">
        <f t="shared" si="51"/>
        <v>424</v>
      </c>
      <c r="P274" s="40" t="str">
        <f t="shared" si="52"/>
        <v>42</v>
      </c>
      <c r="Q274" s="40" t="str">
        <f t="shared" si="53"/>
        <v>11</v>
      </c>
      <c r="R274" s="40" t="str">
        <f t="shared" si="54"/>
        <v>94</v>
      </c>
      <c r="S274" s="40" t="str">
        <f t="shared" si="55"/>
        <v>4</v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>08006</v>
      </c>
      <c r="B275" s="44" t="str">
        <f>IF(C275="","",VLOOKUP('OPĆI DIO'!$C$1,'OPĆI DIO'!$N$4:$W$137,9,FALSE))</f>
        <v>Sveučilišta i veleučilišta u Republici Hrvatskoj</v>
      </c>
      <c r="C275" s="50">
        <v>31</v>
      </c>
      <c r="D275" s="45" t="str">
        <f t="shared" si="47"/>
        <v>Vlastiti prihodi</v>
      </c>
      <c r="E275" s="50">
        <v>3213</v>
      </c>
      <c r="F275" s="45" t="str">
        <f t="shared" si="48"/>
        <v>Stručno usavršavanje zaposlenika</v>
      </c>
      <c r="G275" s="323" t="s">
        <v>176</v>
      </c>
      <c r="H275" s="45" t="str">
        <f t="shared" si="49"/>
        <v>REDOVNA DJELATNOST SVEUČILIŠTA U OSIJEKU (IZ EVIDENCIJSKIH PRIHODA)</v>
      </c>
      <c r="I275" s="45" t="str">
        <f t="shared" si="50"/>
        <v>0942</v>
      </c>
      <c r="J275" s="81">
        <v>1000</v>
      </c>
      <c r="K275" s="81">
        <v>1000</v>
      </c>
      <c r="L275" s="81">
        <v>3000</v>
      </c>
      <c r="M275" s="49"/>
      <c r="N275" s="246" t="str">
        <f>IF(C275="","",'OPĆI DIO'!$C$1)</f>
        <v>2452 SVEUČILIŠTE J. J. STROSSMAYERA U OSIJEKU</v>
      </c>
      <c r="O275" s="40" t="str">
        <f t="shared" si="51"/>
        <v>321</v>
      </c>
      <c r="P275" s="40" t="str">
        <f t="shared" si="52"/>
        <v>32</v>
      </c>
      <c r="Q275" s="40" t="str">
        <f t="shared" si="53"/>
        <v>31</v>
      </c>
      <c r="R275" s="40" t="str">
        <f t="shared" si="54"/>
        <v>94</v>
      </c>
      <c r="S275" s="40" t="str">
        <f t="shared" si="55"/>
        <v>3</v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>08006</v>
      </c>
      <c r="B276" s="44" t="str">
        <f>IF(C276="","",VLOOKUP('OPĆI DIO'!$C$1,'OPĆI DIO'!$N$4:$W$137,9,FALSE))</f>
        <v>Sveučilišta i veleučilišta u Republici Hrvatskoj</v>
      </c>
      <c r="C276" s="50">
        <v>31</v>
      </c>
      <c r="D276" s="45" t="str">
        <f t="shared" si="47"/>
        <v>Vlastiti prihodi</v>
      </c>
      <c r="E276" s="50">
        <v>3293</v>
      </c>
      <c r="F276" s="45" t="str">
        <f t="shared" si="48"/>
        <v>Reprezentacija</v>
      </c>
      <c r="G276" s="323" t="s">
        <v>176</v>
      </c>
      <c r="H276" s="45" t="str">
        <f t="shared" si="49"/>
        <v>REDOVNA DJELATNOST SVEUČILIŠTA U OSIJEKU (IZ EVIDENCIJSKIH PRIHODA)</v>
      </c>
      <c r="I276" s="45" t="str">
        <f t="shared" si="50"/>
        <v>0942</v>
      </c>
      <c r="J276" s="81">
        <v>500</v>
      </c>
      <c r="K276" s="81">
        <v>500</v>
      </c>
      <c r="L276" s="81">
        <v>1000</v>
      </c>
      <c r="M276" s="49"/>
      <c r="N276" s="246" t="str">
        <f>IF(C276="","",'OPĆI DIO'!$C$1)</f>
        <v>2452 SVEUČILIŠTE J. J. STROSSMAYERA U OSIJEKU</v>
      </c>
      <c r="O276" s="40" t="str">
        <f t="shared" si="51"/>
        <v>329</v>
      </c>
      <c r="P276" s="40" t="str">
        <f t="shared" si="52"/>
        <v>32</v>
      </c>
      <c r="Q276" s="40" t="str">
        <f t="shared" si="53"/>
        <v>31</v>
      </c>
      <c r="R276" s="40" t="str">
        <f t="shared" si="54"/>
        <v>94</v>
      </c>
      <c r="S276" s="40" t="str">
        <f t="shared" si="55"/>
        <v>3</v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>08006</v>
      </c>
      <c r="B277" s="44" t="str">
        <f>IF(C277="","",VLOOKUP('OPĆI DIO'!$C$1,'OPĆI DIO'!$N$4:$W$137,9,FALSE))</f>
        <v>Sveučilišta i veleučilišta u Republici Hrvatskoj</v>
      </c>
      <c r="C277" s="50">
        <v>31</v>
      </c>
      <c r="D277" s="45" t="str">
        <f t="shared" si="47"/>
        <v>Vlastiti prihodi</v>
      </c>
      <c r="E277" s="50">
        <v>3294</v>
      </c>
      <c r="F277" s="45" t="str">
        <f t="shared" si="48"/>
        <v>Članarine i norme</v>
      </c>
      <c r="G277" s="323" t="s">
        <v>176</v>
      </c>
      <c r="H277" s="45" t="str">
        <f t="shared" si="49"/>
        <v>REDOVNA DJELATNOST SVEUČILIŠTA U OSIJEKU (IZ EVIDENCIJSKIH PRIHODA)</v>
      </c>
      <c r="I277" s="45" t="str">
        <f t="shared" si="50"/>
        <v>0942</v>
      </c>
      <c r="J277" s="81">
        <v>200</v>
      </c>
      <c r="K277" s="81">
        <v>200</v>
      </c>
      <c r="L277" s="81">
        <v>700</v>
      </c>
      <c r="M277" s="49"/>
      <c r="N277" s="246" t="str">
        <f>IF(C277="","",'OPĆI DIO'!$C$1)</f>
        <v>2452 SVEUČILIŠTE J. J. STROSSMAYERA U OSIJEKU</v>
      </c>
      <c r="O277" s="40" t="str">
        <f t="shared" si="51"/>
        <v>329</v>
      </c>
      <c r="P277" s="40" t="str">
        <f t="shared" si="52"/>
        <v>32</v>
      </c>
      <c r="Q277" s="40" t="str">
        <f t="shared" si="53"/>
        <v>31</v>
      </c>
      <c r="R277" s="40" t="str">
        <f t="shared" si="54"/>
        <v>94</v>
      </c>
      <c r="S277" s="40" t="str">
        <f t="shared" si="55"/>
        <v>3</v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>08006</v>
      </c>
      <c r="B278" s="44" t="str">
        <f>IF(C278="","",VLOOKUP('OPĆI DIO'!$C$1,'OPĆI DIO'!$N$4:$W$137,9,FALSE))</f>
        <v>Sveučilišta i veleučilišta u Republici Hrvatskoj</v>
      </c>
      <c r="C278" s="50">
        <v>31</v>
      </c>
      <c r="D278" s="45" t="str">
        <f t="shared" si="47"/>
        <v>Vlastiti prihodi</v>
      </c>
      <c r="E278" s="50">
        <v>3211</v>
      </c>
      <c r="F278" s="45" t="str">
        <f t="shared" si="48"/>
        <v>Službena putovanja</v>
      </c>
      <c r="G278" s="323" t="s">
        <v>176</v>
      </c>
      <c r="H278" s="45" t="str">
        <f t="shared" si="49"/>
        <v>REDOVNA DJELATNOST SVEUČILIŠTA U OSIJEKU (IZ EVIDENCIJSKIH PRIHODA)</v>
      </c>
      <c r="I278" s="45" t="str">
        <f t="shared" si="50"/>
        <v>0942</v>
      </c>
      <c r="J278" s="81">
        <v>2000</v>
      </c>
      <c r="K278" s="81">
        <v>2000</v>
      </c>
      <c r="L278" s="81">
        <v>4000</v>
      </c>
      <c r="M278" s="49"/>
      <c r="N278" s="246" t="str">
        <f>IF(C278="","",'OPĆI DIO'!$C$1)</f>
        <v>2452 SVEUČILIŠTE J. J. STROSSMAYERA U OSIJEKU</v>
      </c>
      <c r="O278" s="40" t="str">
        <f t="shared" si="51"/>
        <v>321</v>
      </c>
      <c r="P278" s="40" t="str">
        <f t="shared" si="52"/>
        <v>32</v>
      </c>
      <c r="Q278" s="40" t="str">
        <f t="shared" si="53"/>
        <v>31</v>
      </c>
      <c r="R278" s="40" t="str">
        <f t="shared" si="54"/>
        <v>94</v>
      </c>
      <c r="S278" s="40" t="str">
        <f t="shared" si="55"/>
        <v>3</v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>08006</v>
      </c>
      <c r="B279" s="44" t="str">
        <f>IF(C279="","",VLOOKUP('OPĆI DIO'!$C$1,'OPĆI DIO'!$N$4:$W$137,9,FALSE))</f>
        <v>Sveučilišta i veleučilišta u Republici Hrvatskoj</v>
      </c>
      <c r="C279" s="50">
        <v>31</v>
      </c>
      <c r="D279" s="45" t="str">
        <f t="shared" si="47"/>
        <v>Vlastiti prihodi</v>
      </c>
      <c r="E279" s="50">
        <v>4224</v>
      </c>
      <c r="F279" s="45" t="str">
        <f t="shared" si="48"/>
        <v>Medicinska i laboratorijska oprema</v>
      </c>
      <c r="G279" s="323" t="s">
        <v>176</v>
      </c>
      <c r="H279" s="45" t="str">
        <f t="shared" si="49"/>
        <v>REDOVNA DJELATNOST SVEUČILIŠTA U OSIJEKU (IZ EVIDENCIJSKIH PRIHODA)</v>
      </c>
      <c r="I279" s="45" t="str">
        <f t="shared" si="50"/>
        <v>0942</v>
      </c>
      <c r="J279" s="81">
        <v>1320</v>
      </c>
      <c r="K279" s="81">
        <v>1320</v>
      </c>
      <c r="L279" s="81">
        <v>1320</v>
      </c>
      <c r="M279" s="49"/>
      <c r="N279" s="246" t="str">
        <f>IF(C279="","",'OPĆI DIO'!$C$1)</f>
        <v>2452 SVEUČILIŠTE J. J. STROSSMAYERA U OSIJEKU</v>
      </c>
      <c r="O279" s="40" t="str">
        <f t="shared" si="51"/>
        <v>422</v>
      </c>
      <c r="P279" s="40" t="str">
        <f t="shared" si="52"/>
        <v>42</v>
      </c>
      <c r="Q279" s="40" t="str">
        <f t="shared" si="53"/>
        <v>31</v>
      </c>
      <c r="R279" s="40" t="str">
        <f t="shared" si="54"/>
        <v>94</v>
      </c>
      <c r="S279" s="40" t="str">
        <f t="shared" si="55"/>
        <v>4</v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>08006</v>
      </c>
      <c r="B280" s="44" t="str">
        <f>IF(C280="","",VLOOKUP('OPĆI DIO'!$C$1,'OPĆI DIO'!$N$4:$W$137,9,FALSE))</f>
        <v>Sveučilišta i veleučilišta u Republici Hrvatskoj</v>
      </c>
      <c r="C280" s="50">
        <v>43</v>
      </c>
      <c r="D280" s="45" t="str">
        <f t="shared" si="47"/>
        <v>Ostali prihodi za posebne namjene</v>
      </c>
      <c r="E280" s="50">
        <v>3213</v>
      </c>
      <c r="F280" s="45" t="str">
        <f t="shared" si="48"/>
        <v>Stručno usavršavanje zaposlenika</v>
      </c>
      <c r="G280" s="323" t="s">
        <v>176</v>
      </c>
      <c r="H280" s="45" t="str">
        <f t="shared" si="49"/>
        <v>REDOVNA DJELATNOST SVEUČILIŠTA U OSIJEKU (IZ EVIDENCIJSKIH PRIHODA)</v>
      </c>
      <c r="I280" s="45" t="str">
        <f t="shared" si="50"/>
        <v>0942</v>
      </c>
      <c r="J280" s="81">
        <v>1000</v>
      </c>
      <c r="K280" s="81">
        <v>1000</v>
      </c>
      <c r="L280" s="81">
        <v>1000</v>
      </c>
      <c r="M280" s="49"/>
      <c r="N280" s="246" t="str">
        <f>IF(C280="","",'OPĆI DIO'!$C$1)</f>
        <v>2452 SVEUČILIŠTE J. J. STROSSMAYERA U OSIJEKU</v>
      </c>
      <c r="O280" s="40" t="str">
        <f t="shared" si="51"/>
        <v>321</v>
      </c>
      <c r="P280" s="40" t="str">
        <f t="shared" si="52"/>
        <v>32</v>
      </c>
      <c r="Q280" s="40" t="str">
        <f t="shared" si="53"/>
        <v>43</v>
      </c>
      <c r="R280" s="40" t="str">
        <f t="shared" si="54"/>
        <v>94</v>
      </c>
      <c r="S280" s="40" t="str">
        <f t="shared" si="55"/>
        <v>3</v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>08006</v>
      </c>
      <c r="B281" s="44" t="str">
        <f>IF(C281="","",VLOOKUP('OPĆI DIO'!$C$1,'OPĆI DIO'!$N$4:$W$137,9,FALSE))</f>
        <v>Sveučilišta i veleučilišta u Republici Hrvatskoj</v>
      </c>
      <c r="C281" s="50">
        <v>43</v>
      </c>
      <c r="D281" s="45" t="str">
        <f t="shared" si="47"/>
        <v>Ostali prihodi za posebne namjene</v>
      </c>
      <c r="E281" s="50">
        <v>3221</v>
      </c>
      <c r="F281" s="45" t="str">
        <f t="shared" si="48"/>
        <v>Uredski materijal i ostali materijalni rashodi</v>
      </c>
      <c r="G281" s="323" t="s">
        <v>176</v>
      </c>
      <c r="H281" s="45" t="str">
        <f t="shared" si="49"/>
        <v>REDOVNA DJELATNOST SVEUČILIŠTA U OSIJEKU (IZ EVIDENCIJSKIH PRIHODA)</v>
      </c>
      <c r="I281" s="45" t="str">
        <f t="shared" si="50"/>
        <v>0942</v>
      </c>
      <c r="J281" s="81">
        <v>1500</v>
      </c>
      <c r="K281" s="81">
        <v>1500</v>
      </c>
      <c r="L281" s="81">
        <v>1500</v>
      </c>
      <c r="M281" s="49"/>
      <c r="N281" s="246" t="str">
        <f>IF(C281="","",'OPĆI DIO'!$C$1)</f>
        <v>2452 SVEUČILIŠTE J. J. STROSSMAYERA U OSIJEKU</v>
      </c>
      <c r="O281" s="40" t="str">
        <f t="shared" si="51"/>
        <v>322</v>
      </c>
      <c r="P281" s="40" t="str">
        <f t="shared" si="52"/>
        <v>32</v>
      </c>
      <c r="Q281" s="40" t="str">
        <f t="shared" si="53"/>
        <v>43</v>
      </c>
      <c r="R281" s="40" t="str">
        <f t="shared" si="54"/>
        <v>94</v>
      </c>
      <c r="S281" s="40" t="str">
        <f t="shared" si="55"/>
        <v>3</v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>08006</v>
      </c>
      <c r="B282" s="44" t="str">
        <f>IF(C282="","",VLOOKUP('OPĆI DIO'!$C$1,'OPĆI DIO'!$N$4:$W$137,9,FALSE))</f>
        <v>Sveučilišta i veleučilišta u Republici Hrvatskoj</v>
      </c>
      <c r="C282" s="50">
        <v>43</v>
      </c>
      <c r="D282" s="45" t="str">
        <f t="shared" si="47"/>
        <v>Ostali prihodi za posebne namjene</v>
      </c>
      <c r="E282" s="50">
        <v>3223</v>
      </c>
      <c r="F282" s="45" t="str">
        <f t="shared" si="48"/>
        <v>Energija</v>
      </c>
      <c r="G282" s="323" t="s">
        <v>176</v>
      </c>
      <c r="H282" s="45" t="str">
        <f t="shared" si="49"/>
        <v>REDOVNA DJELATNOST SVEUČILIŠTA U OSIJEKU (IZ EVIDENCIJSKIH PRIHODA)</v>
      </c>
      <c r="I282" s="45" t="str">
        <f t="shared" si="50"/>
        <v>0942</v>
      </c>
      <c r="J282" s="81">
        <v>4500</v>
      </c>
      <c r="K282" s="81">
        <v>4500</v>
      </c>
      <c r="L282" s="81">
        <v>4500</v>
      </c>
      <c r="M282" s="49"/>
      <c r="N282" s="246" t="str">
        <f>IF(C282="","",'OPĆI DIO'!$C$1)</f>
        <v>2452 SVEUČILIŠTE J. J. STROSSMAYERA U OSIJEKU</v>
      </c>
      <c r="O282" s="40" t="str">
        <f t="shared" si="51"/>
        <v>322</v>
      </c>
      <c r="P282" s="40" t="str">
        <f t="shared" si="52"/>
        <v>32</v>
      </c>
      <c r="Q282" s="40" t="str">
        <f t="shared" si="53"/>
        <v>43</v>
      </c>
      <c r="R282" s="40" t="str">
        <f t="shared" si="54"/>
        <v>94</v>
      </c>
      <c r="S282" s="40" t="str">
        <f t="shared" si="55"/>
        <v>3</v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>08006</v>
      </c>
      <c r="B283" s="44" t="str">
        <f>IF(C283="","",VLOOKUP('OPĆI DIO'!$C$1,'OPĆI DIO'!$N$4:$W$137,9,FALSE))</f>
        <v>Sveučilišta i veleučilišta u Republici Hrvatskoj</v>
      </c>
      <c r="C283" s="50">
        <v>43</v>
      </c>
      <c r="D283" s="45" t="str">
        <f t="shared" si="47"/>
        <v>Ostali prihodi za posebne namjene</v>
      </c>
      <c r="E283" s="50">
        <v>3231</v>
      </c>
      <c r="F283" s="45" t="str">
        <f t="shared" si="48"/>
        <v>Usluge telefona, pošte i prijevoza</v>
      </c>
      <c r="G283" s="323" t="s">
        <v>176</v>
      </c>
      <c r="H283" s="45" t="str">
        <f t="shared" si="49"/>
        <v>REDOVNA DJELATNOST SVEUČILIŠTA U OSIJEKU (IZ EVIDENCIJSKIH PRIHODA)</v>
      </c>
      <c r="I283" s="45" t="str">
        <f t="shared" si="50"/>
        <v>0942</v>
      </c>
      <c r="J283" s="81">
        <v>3000</v>
      </c>
      <c r="K283" s="81">
        <v>3000</v>
      </c>
      <c r="L283" s="81">
        <v>3000</v>
      </c>
      <c r="M283" s="49"/>
      <c r="N283" s="246" t="str">
        <f>IF(C283="","",'OPĆI DIO'!$C$1)</f>
        <v>2452 SVEUČILIŠTE J. J. STROSSMAYERA U OSIJEKU</v>
      </c>
      <c r="O283" s="40" t="str">
        <f t="shared" si="51"/>
        <v>323</v>
      </c>
      <c r="P283" s="40" t="str">
        <f t="shared" si="52"/>
        <v>32</v>
      </c>
      <c r="Q283" s="40" t="str">
        <f t="shared" si="53"/>
        <v>43</v>
      </c>
      <c r="R283" s="40" t="str">
        <f t="shared" si="54"/>
        <v>94</v>
      </c>
      <c r="S283" s="40" t="str">
        <f t="shared" si="55"/>
        <v>3</v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>08006</v>
      </c>
      <c r="B284" s="44" t="str">
        <f>IF(C284="","",VLOOKUP('OPĆI DIO'!$C$1,'OPĆI DIO'!$N$4:$W$137,9,FALSE))</f>
        <v>Sveučilišta i veleučilišta u Republici Hrvatskoj</v>
      </c>
      <c r="C284" s="50">
        <v>43</v>
      </c>
      <c r="D284" s="45" t="str">
        <f t="shared" si="47"/>
        <v>Ostali prihodi za posebne namjene</v>
      </c>
      <c r="E284" s="50">
        <v>3234</v>
      </c>
      <c r="F284" s="45" t="str">
        <f t="shared" si="48"/>
        <v>Komunalne usluge</v>
      </c>
      <c r="G284" s="323" t="s">
        <v>176</v>
      </c>
      <c r="H284" s="45" t="str">
        <f t="shared" si="49"/>
        <v>REDOVNA DJELATNOST SVEUČILIŠTA U OSIJEKU (IZ EVIDENCIJSKIH PRIHODA)</v>
      </c>
      <c r="I284" s="45" t="str">
        <f t="shared" si="50"/>
        <v>0942</v>
      </c>
      <c r="J284" s="81">
        <v>2200</v>
      </c>
      <c r="K284" s="81">
        <v>2200</v>
      </c>
      <c r="L284" s="81">
        <v>2200</v>
      </c>
      <c r="M284" s="49"/>
      <c r="N284" s="246" t="str">
        <f>IF(C284="","",'OPĆI DIO'!$C$1)</f>
        <v>2452 SVEUČILIŠTE J. J. STROSSMAYERA U OSIJEKU</v>
      </c>
      <c r="O284" s="40" t="str">
        <f t="shared" si="51"/>
        <v>323</v>
      </c>
      <c r="P284" s="40" t="str">
        <f t="shared" si="52"/>
        <v>32</v>
      </c>
      <c r="Q284" s="40" t="str">
        <f t="shared" si="53"/>
        <v>43</v>
      </c>
      <c r="R284" s="40" t="str">
        <f t="shared" si="54"/>
        <v>94</v>
      </c>
      <c r="S284" s="40" t="str">
        <f t="shared" si="55"/>
        <v>3</v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>08006</v>
      </c>
      <c r="B285" s="44" t="str">
        <f>IF(C285="","",VLOOKUP('OPĆI DIO'!$C$1,'OPĆI DIO'!$N$4:$W$137,9,FALSE))</f>
        <v>Sveučilišta i veleučilišta u Republici Hrvatskoj</v>
      </c>
      <c r="C285" s="50">
        <v>43</v>
      </c>
      <c r="D285" s="45" t="str">
        <f t="shared" si="47"/>
        <v>Ostali prihodi za posebne namjene</v>
      </c>
      <c r="E285" s="50">
        <v>3238</v>
      </c>
      <c r="F285" s="45" t="str">
        <f t="shared" si="48"/>
        <v>Računalne usluge</v>
      </c>
      <c r="G285" s="323" t="s">
        <v>176</v>
      </c>
      <c r="H285" s="45" t="str">
        <f t="shared" si="49"/>
        <v>REDOVNA DJELATNOST SVEUČILIŠTA U OSIJEKU (IZ EVIDENCIJSKIH PRIHODA)</v>
      </c>
      <c r="I285" s="45" t="str">
        <f t="shared" si="50"/>
        <v>0942</v>
      </c>
      <c r="J285" s="81">
        <v>1000</v>
      </c>
      <c r="K285" s="81">
        <v>1000</v>
      </c>
      <c r="L285" s="81">
        <v>1000</v>
      </c>
      <c r="M285" s="49"/>
      <c r="N285" s="246" t="str">
        <f>IF(C285="","",'OPĆI DIO'!$C$1)</f>
        <v>2452 SVEUČILIŠTE J. J. STROSSMAYERA U OSIJEKU</v>
      </c>
      <c r="O285" s="40" t="str">
        <f t="shared" si="51"/>
        <v>323</v>
      </c>
      <c r="P285" s="40" t="str">
        <f t="shared" si="52"/>
        <v>32</v>
      </c>
      <c r="Q285" s="40" t="str">
        <f t="shared" si="53"/>
        <v>43</v>
      </c>
      <c r="R285" s="40" t="str">
        <f t="shared" si="54"/>
        <v>94</v>
      </c>
      <c r="S285" s="40" t="str">
        <f t="shared" si="55"/>
        <v>3</v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>08006</v>
      </c>
      <c r="B286" s="44" t="str">
        <f>IF(C286="","",VLOOKUP('OPĆI DIO'!$C$1,'OPĆI DIO'!$N$4:$W$137,9,FALSE))</f>
        <v>Sveučilišta i veleučilišta u Republici Hrvatskoj</v>
      </c>
      <c r="C286" s="50">
        <v>43</v>
      </c>
      <c r="D286" s="45" t="str">
        <f t="shared" si="47"/>
        <v>Ostali prihodi za posebne namjene</v>
      </c>
      <c r="E286" s="50">
        <v>3293</v>
      </c>
      <c r="F286" s="45" t="str">
        <f t="shared" si="48"/>
        <v>Reprezentacija</v>
      </c>
      <c r="G286" s="323" t="s">
        <v>176</v>
      </c>
      <c r="H286" s="45" t="str">
        <f t="shared" si="49"/>
        <v>REDOVNA DJELATNOST SVEUČILIŠTA U OSIJEKU (IZ EVIDENCIJSKIH PRIHODA)</v>
      </c>
      <c r="I286" s="45" t="str">
        <f t="shared" si="50"/>
        <v>0942</v>
      </c>
      <c r="J286" s="81">
        <v>1500</v>
      </c>
      <c r="K286" s="81">
        <v>1500</v>
      </c>
      <c r="L286" s="81">
        <v>1500</v>
      </c>
      <c r="M286" s="49"/>
      <c r="N286" s="246" t="str">
        <f>IF(C286="","",'OPĆI DIO'!$C$1)</f>
        <v>2452 SVEUČILIŠTE J. J. STROSSMAYERA U OSIJEKU</v>
      </c>
      <c r="O286" s="40" t="str">
        <f t="shared" si="51"/>
        <v>329</v>
      </c>
      <c r="P286" s="40" t="str">
        <f t="shared" si="52"/>
        <v>32</v>
      </c>
      <c r="Q286" s="40" t="str">
        <f t="shared" si="53"/>
        <v>43</v>
      </c>
      <c r="R286" s="40" t="str">
        <f t="shared" si="54"/>
        <v>94</v>
      </c>
      <c r="S286" s="40" t="str">
        <f t="shared" si="55"/>
        <v>3</v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>08006</v>
      </c>
      <c r="B287" s="44" t="str">
        <f>IF(C287="","",VLOOKUP('OPĆI DIO'!$C$1,'OPĆI DIO'!$N$4:$W$137,9,FALSE))</f>
        <v>Sveučilišta i veleučilišta u Republici Hrvatskoj</v>
      </c>
      <c r="C287" s="50">
        <v>43</v>
      </c>
      <c r="D287" s="45" t="str">
        <f t="shared" si="47"/>
        <v>Ostali prihodi za posebne namjene</v>
      </c>
      <c r="E287" s="50">
        <v>3299</v>
      </c>
      <c r="F287" s="45" t="str">
        <f t="shared" si="48"/>
        <v>Ostali nespomenuti rashodi poslovanja</v>
      </c>
      <c r="G287" s="323" t="s">
        <v>176</v>
      </c>
      <c r="H287" s="45" t="str">
        <f t="shared" si="49"/>
        <v>REDOVNA DJELATNOST SVEUČILIŠTA U OSIJEKU (IZ EVIDENCIJSKIH PRIHODA)</v>
      </c>
      <c r="I287" s="45" t="str">
        <f t="shared" si="50"/>
        <v>0942</v>
      </c>
      <c r="J287" s="81">
        <v>1200</v>
      </c>
      <c r="K287" s="81">
        <v>1200</v>
      </c>
      <c r="L287" s="81">
        <v>1200</v>
      </c>
      <c r="M287" s="49"/>
      <c r="N287" s="246" t="str">
        <f>IF(C287="","",'OPĆI DIO'!$C$1)</f>
        <v>2452 SVEUČILIŠTE J. J. STROSSMAYERA U OSIJEKU</v>
      </c>
      <c r="O287" s="40" t="str">
        <f t="shared" si="51"/>
        <v>329</v>
      </c>
      <c r="P287" s="40" t="str">
        <f t="shared" si="52"/>
        <v>32</v>
      </c>
      <c r="Q287" s="40" t="str">
        <f t="shared" si="53"/>
        <v>43</v>
      </c>
      <c r="R287" s="40" t="str">
        <f t="shared" si="54"/>
        <v>94</v>
      </c>
      <c r="S287" s="40" t="str">
        <f t="shared" si="55"/>
        <v>3</v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>08006</v>
      </c>
      <c r="B288" s="44" t="str">
        <f>IF(C288="","",VLOOKUP('OPĆI DIO'!$C$1,'OPĆI DIO'!$N$4:$W$137,9,FALSE))</f>
        <v>Sveučilišta i veleučilišta u Republici Hrvatskoj</v>
      </c>
      <c r="C288" s="50">
        <v>43</v>
      </c>
      <c r="D288" s="45" t="str">
        <f t="shared" si="47"/>
        <v>Ostali prihodi za posebne namjene</v>
      </c>
      <c r="E288" s="50">
        <v>3431</v>
      </c>
      <c r="F288" s="45" t="str">
        <f t="shared" si="48"/>
        <v>Bankarske usluge i usluge platnog prometa</v>
      </c>
      <c r="G288" s="323" t="s">
        <v>176</v>
      </c>
      <c r="H288" s="45" t="str">
        <f t="shared" si="49"/>
        <v>REDOVNA DJELATNOST SVEUČILIŠTA U OSIJEKU (IZ EVIDENCIJSKIH PRIHODA)</v>
      </c>
      <c r="I288" s="45" t="str">
        <f t="shared" si="50"/>
        <v>0942</v>
      </c>
      <c r="J288" s="81">
        <v>1200</v>
      </c>
      <c r="K288" s="81">
        <v>1200</v>
      </c>
      <c r="L288" s="81">
        <v>1200</v>
      </c>
      <c r="M288" s="49"/>
      <c r="N288" s="246" t="str">
        <f>IF(C288="","",'OPĆI DIO'!$C$1)</f>
        <v>2452 SVEUČILIŠTE J. J. STROSSMAYERA U OSIJEKU</v>
      </c>
      <c r="O288" s="40" t="str">
        <f t="shared" si="51"/>
        <v>343</v>
      </c>
      <c r="P288" s="40" t="str">
        <f t="shared" si="52"/>
        <v>34</v>
      </c>
      <c r="Q288" s="40" t="str">
        <f t="shared" si="53"/>
        <v>43</v>
      </c>
      <c r="R288" s="40" t="str">
        <f t="shared" si="54"/>
        <v>94</v>
      </c>
      <c r="S288" s="40" t="str">
        <f t="shared" si="55"/>
        <v>3</v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>08006</v>
      </c>
      <c r="B289" s="44" t="str">
        <f>IF(C289="","",VLOOKUP('OPĆI DIO'!$C$1,'OPĆI DIO'!$N$4:$W$137,9,FALSE))</f>
        <v>Sveučilišta i veleučilišta u Republici Hrvatskoj</v>
      </c>
      <c r="C289" s="50">
        <v>43</v>
      </c>
      <c r="D289" s="45" t="str">
        <f t="shared" si="47"/>
        <v>Ostali prihodi za posebne namjene</v>
      </c>
      <c r="E289" s="50">
        <v>4221</v>
      </c>
      <c r="F289" s="45" t="str">
        <f t="shared" si="48"/>
        <v>Uredska oprema i namještaj</v>
      </c>
      <c r="G289" s="323" t="s">
        <v>176</v>
      </c>
      <c r="H289" s="45" t="str">
        <f t="shared" si="49"/>
        <v>REDOVNA DJELATNOST SVEUČILIŠTA U OSIJEKU (IZ EVIDENCIJSKIH PRIHODA)</v>
      </c>
      <c r="I289" s="45" t="str">
        <f t="shared" si="50"/>
        <v>0942</v>
      </c>
      <c r="J289" s="81">
        <v>1000</v>
      </c>
      <c r="K289" s="81">
        <v>1000</v>
      </c>
      <c r="L289" s="81">
        <v>1000</v>
      </c>
      <c r="M289" s="49"/>
      <c r="N289" s="246" t="str">
        <f>IF(C289="","",'OPĆI DIO'!$C$1)</f>
        <v>2452 SVEUČILIŠTE J. J. STROSSMAYERA U OSIJEKU</v>
      </c>
      <c r="O289" s="40" t="str">
        <f t="shared" si="51"/>
        <v>422</v>
      </c>
      <c r="P289" s="40" t="str">
        <f t="shared" si="52"/>
        <v>42</v>
      </c>
      <c r="Q289" s="40" t="str">
        <f t="shared" si="53"/>
        <v>43</v>
      </c>
      <c r="R289" s="40" t="str">
        <f t="shared" si="54"/>
        <v>94</v>
      </c>
      <c r="S289" s="40" t="str">
        <f t="shared" si="55"/>
        <v>4</v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>08006</v>
      </c>
      <c r="B290" s="44" t="str">
        <f>IF(C290="","",VLOOKUP('OPĆI DIO'!$C$1,'OPĆI DIO'!$N$4:$W$137,9,FALSE))</f>
        <v>Sveučilišta i veleučilišta u Republici Hrvatskoj</v>
      </c>
      <c r="C290" s="50">
        <v>43</v>
      </c>
      <c r="D290" s="45" t="str">
        <f t="shared" si="47"/>
        <v>Ostali prihodi za posebne namjene</v>
      </c>
      <c r="E290" s="50">
        <v>4224</v>
      </c>
      <c r="F290" s="45" t="str">
        <f t="shared" si="48"/>
        <v>Medicinska i laboratorijska oprema</v>
      </c>
      <c r="G290" s="323" t="s">
        <v>176</v>
      </c>
      <c r="H290" s="45" t="str">
        <f t="shared" si="49"/>
        <v>REDOVNA DJELATNOST SVEUČILIŠTA U OSIJEKU (IZ EVIDENCIJSKIH PRIHODA)</v>
      </c>
      <c r="I290" s="45" t="str">
        <f t="shared" si="50"/>
        <v>0942</v>
      </c>
      <c r="J290" s="81">
        <v>2000</v>
      </c>
      <c r="K290" s="81">
        <v>2000</v>
      </c>
      <c r="L290" s="81">
        <v>2000</v>
      </c>
      <c r="M290" s="49"/>
      <c r="N290" s="246" t="str">
        <f>IF(C290="","",'OPĆI DIO'!$C$1)</f>
        <v>2452 SVEUČILIŠTE J. J. STROSSMAYERA U OSIJEKU</v>
      </c>
      <c r="O290" s="40" t="str">
        <f t="shared" si="51"/>
        <v>422</v>
      </c>
      <c r="P290" s="40" t="str">
        <f t="shared" si="52"/>
        <v>42</v>
      </c>
      <c r="Q290" s="40" t="str">
        <f t="shared" si="53"/>
        <v>43</v>
      </c>
      <c r="R290" s="40" t="str">
        <f t="shared" si="54"/>
        <v>94</v>
      </c>
      <c r="S290" s="40" t="str">
        <f t="shared" si="55"/>
        <v>4</v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>08006</v>
      </c>
      <c r="B291" s="44" t="str">
        <f>IF(C291="","",VLOOKUP('OPĆI DIO'!$C$1,'OPĆI DIO'!$N$4:$W$137,9,FALSE))</f>
        <v>Sveučilišta i veleučilišta u Republici Hrvatskoj</v>
      </c>
      <c r="C291" s="50">
        <v>43</v>
      </c>
      <c r="D291" s="45" t="str">
        <f t="shared" si="47"/>
        <v>Ostali prihodi za posebne namjene</v>
      </c>
      <c r="E291" s="50">
        <v>4225</v>
      </c>
      <c r="F291" s="45" t="str">
        <f t="shared" si="48"/>
        <v>Instrumenti, uređaji i strojevi</v>
      </c>
      <c r="G291" s="323" t="s">
        <v>176</v>
      </c>
      <c r="H291" s="45" t="str">
        <f t="shared" si="49"/>
        <v>REDOVNA DJELATNOST SVEUČILIŠTA U OSIJEKU (IZ EVIDENCIJSKIH PRIHODA)</v>
      </c>
      <c r="I291" s="45" t="str">
        <f t="shared" si="50"/>
        <v>0942</v>
      </c>
      <c r="J291" s="81">
        <v>1500</v>
      </c>
      <c r="K291" s="81">
        <v>1500</v>
      </c>
      <c r="L291" s="81">
        <v>1500</v>
      </c>
      <c r="M291" s="49"/>
      <c r="N291" s="246" t="str">
        <f>IF(C291="","",'OPĆI DIO'!$C$1)</f>
        <v>2452 SVEUČILIŠTE J. J. STROSSMAYERA U OSIJEKU</v>
      </c>
      <c r="O291" s="40" t="str">
        <f t="shared" si="51"/>
        <v>422</v>
      </c>
      <c r="P291" s="40" t="str">
        <f t="shared" si="52"/>
        <v>42</v>
      </c>
      <c r="Q291" s="40" t="str">
        <f t="shared" si="53"/>
        <v>43</v>
      </c>
      <c r="R291" s="40" t="str">
        <f t="shared" si="54"/>
        <v>94</v>
      </c>
      <c r="S291" s="40" t="str">
        <f t="shared" si="55"/>
        <v>4</v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>08006</v>
      </c>
      <c r="B292" s="44" t="str">
        <f>IF(C292="","",VLOOKUP('OPĆI DIO'!$C$1,'OPĆI DIO'!$N$4:$W$137,9,FALSE))</f>
        <v>Sveučilišta i veleučilišta u Republici Hrvatskoj</v>
      </c>
      <c r="C292" s="50">
        <v>43</v>
      </c>
      <c r="D292" s="45" t="str">
        <f t="shared" si="47"/>
        <v>Ostali prihodi za posebne namjene</v>
      </c>
      <c r="E292" s="50">
        <v>4241</v>
      </c>
      <c r="F292" s="45" t="str">
        <f t="shared" si="48"/>
        <v>Knjige</v>
      </c>
      <c r="G292" s="323" t="s">
        <v>176</v>
      </c>
      <c r="H292" s="45" t="str">
        <f t="shared" si="49"/>
        <v>REDOVNA DJELATNOST SVEUČILIŠTA U OSIJEKU (IZ EVIDENCIJSKIH PRIHODA)</v>
      </c>
      <c r="I292" s="45" t="str">
        <f t="shared" si="50"/>
        <v>0942</v>
      </c>
      <c r="J292" s="81">
        <v>1400</v>
      </c>
      <c r="K292" s="81">
        <v>1400</v>
      </c>
      <c r="L292" s="81">
        <v>1400</v>
      </c>
      <c r="M292" s="49"/>
      <c r="N292" s="246" t="str">
        <f>IF(C292="","",'OPĆI DIO'!$C$1)</f>
        <v>2452 SVEUČILIŠTE J. J. STROSSMAYERA U OSIJEKU</v>
      </c>
      <c r="O292" s="40" t="str">
        <f t="shared" si="51"/>
        <v>424</v>
      </c>
      <c r="P292" s="40" t="str">
        <f t="shared" si="52"/>
        <v>42</v>
      </c>
      <c r="Q292" s="40" t="str">
        <f t="shared" si="53"/>
        <v>43</v>
      </c>
      <c r="R292" s="40" t="str">
        <f t="shared" si="54"/>
        <v>94</v>
      </c>
      <c r="S292" s="40" t="str">
        <f t="shared" si="55"/>
        <v>4</v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>08006</v>
      </c>
      <c r="B293" s="44" t="str">
        <f>IF(C293="","",VLOOKUP('OPĆI DIO'!$C$1,'OPĆI DIO'!$N$4:$W$137,9,FALSE))</f>
        <v>Sveučilišta i veleučilišta u Republici Hrvatskoj</v>
      </c>
      <c r="C293" s="50">
        <v>43</v>
      </c>
      <c r="D293" s="45" t="str">
        <f t="shared" si="47"/>
        <v>Ostali prihodi za posebne namjene</v>
      </c>
      <c r="E293" s="50">
        <v>3236</v>
      </c>
      <c r="F293" s="45" t="str">
        <f t="shared" si="48"/>
        <v>Zdravstvene i veterinarske usluge</v>
      </c>
      <c r="G293" s="323" t="s">
        <v>176</v>
      </c>
      <c r="H293" s="45" t="str">
        <f t="shared" si="49"/>
        <v>REDOVNA DJELATNOST SVEUČILIŠTA U OSIJEKU (IZ EVIDENCIJSKIH PRIHODA)</v>
      </c>
      <c r="I293" s="45" t="str">
        <f t="shared" si="50"/>
        <v>0942</v>
      </c>
      <c r="J293" s="81">
        <v>1000</v>
      </c>
      <c r="K293" s="81">
        <v>1000</v>
      </c>
      <c r="L293" s="81">
        <v>1000</v>
      </c>
      <c r="M293" s="49"/>
      <c r="N293" s="246" t="str">
        <f>IF(C293="","",'OPĆI DIO'!$C$1)</f>
        <v>2452 SVEUČILIŠTE J. J. STROSSMAYERA U OSIJEKU</v>
      </c>
      <c r="O293" s="40" t="str">
        <f t="shared" si="51"/>
        <v>323</v>
      </c>
      <c r="P293" s="40" t="str">
        <f t="shared" si="52"/>
        <v>32</v>
      </c>
      <c r="Q293" s="40" t="str">
        <f t="shared" si="53"/>
        <v>43</v>
      </c>
      <c r="R293" s="40" t="str">
        <f t="shared" si="54"/>
        <v>94</v>
      </c>
      <c r="S293" s="40" t="str">
        <f t="shared" si="55"/>
        <v>3</v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>08006</v>
      </c>
      <c r="B294" s="44" t="str">
        <f>IF(C294="","",VLOOKUP('OPĆI DIO'!$C$1,'OPĆI DIO'!$N$4:$W$137,9,FALSE))</f>
        <v>Sveučilišta i veleučilišta u Republici Hrvatskoj</v>
      </c>
      <c r="C294" s="50">
        <v>43</v>
      </c>
      <c r="D294" s="45" t="str">
        <f t="shared" si="47"/>
        <v>Ostali prihodi za posebne namjene</v>
      </c>
      <c r="E294" s="50">
        <v>3211</v>
      </c>
      <c r="F294" s="45" t="str">
        <f t="shared" si="48"/>
        <v>Službena putovanja</v>
      </c>
      <c r="G294" s="323" t="s">
        <v>176</v>
      </c>
      <c r="H294" s="45" t="str">
        <f t="shared" si="49"/>
        <v>REDOVNA DJELATNOST SVEUČILIŠTA U OSIJEKU (IZ EVIDENCIJSKIH PRIHODA)</v>
      </c>
      <c r="I294" s="45" t="str">
        <f t="shared" si="50"/>
        <v>0942</v>
      </c>
      <c r="J294" s="81">
        <v>1000</v>
      </c>
      <c r="K294" s="81">
        <v>1000</v>
      </c>
      <c r="L294" s="81">
        <v>1000</v>
      </c>
      <c r="M294" s="49"/>
      <c r="N294" s="246" t="str">
        <f>IF(C294="","",'OPĆI DIO'!$C$1)</f>
        <v>2452 SVEUČILIŠTE J. J. STROSSMAYERA U OSIJEKU</v>
      </c>
      <c r="O294" s="40" t="str">
        <f t="shared" si="51"/>
        <v>321</v>
      </c>
      <c r="P294" s="40" t="str">
        <f t="shared" si="52"/>
        <v>32</v>
      </c>
      <c r="Q294" s="40" t="str">
        <f t="shared" si="53"/>
        <v>43</v>
      </c>
      <c r="R294" s="40" t="str">
        <f t="shared" si="54"/>
        <v>94</v>
      </c>
      <c r="S294" s="40" t="str">
        <f t="shared" si="55"/>
        <v>3</v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>08006</v>
      </c>
      <c r="B295" s="44" t="str">
        <f>IF(C295="","",VLOOKUP('OPĆI DIO'!$C$1,'OPĆI DIO'!$N$4:$W$137,9,FALSE))</f>
        <v>Sveučilišta i veleučilišta u Republici Hrvatskoj</v>
      </c>
      <c r="C295" s="373">
        <v>52</v>
      </c>
      <c r="D295" s="45" t="str">
        <f t="shared" si="47"/>
        <v>Ostale pomoći</v>
      </c>
      <c r="E295" s="373">
        <v>3211</v>
      </c>
      <c r="F295" s="45" t="str">
        <f t="shared" si="48"/>
        <v>Službena putovanja</v>
      </c>
      <c r="G295" s="323" t="s">
        <v>176</v>
      </c>
      <c r="H295" s="45" t="str">
        <f t="shared" si="49"/>
        <v>REDOVNA DJELATNOST SVEUČILIŠTA U OSIJEKU (IZ EVIDENCIJSKIH PRIHODA)</v>
      </c>
      <c r="I295" s="45" t="str">
        <f t="shared" si="50"/>
        <v>0942</v>
      </c>
      <c r="J295" s="81">
        <v>370</v>
      </c>
      <c r="K295" s="81"/>
      <c r="L295" s="81"/>
      <c r="M295" s="49"/>
      <c r="N295" s="246" t="str">
        <f>IF(C295="","",'OPĆI DIO'!$C$1)</f>
        <v>2452 SVEUČILIŠTE J. J. STROSSMAYERA U OSIJEKU</v>
      </c>
      <c r="O295" s="40" t="str">
        <f t="shared" si="51"/>
        <v>321</v>
      </c>
      <c r="P295" s="40" t="str">
        <f t="shared" si="52"/>
        <v>32</v>
      </c>
      <c r="Q295" s="40" t="str">
        <f t="shared" si="53"/>
        <v>52</v>
      </c>
      <c r="R295" s="40" t="str">
        <f t="shared" si="54"/>
        <v>94</v>
      </c>
      <c r="S295" s="40" t="str">
        <f t="shared" si="55"/>
        <v>3</v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>08006</v>
      </c>
      <c r="B296" s="44" t="str">
        <f>IF(C296="","",VLOOKUP('OPĆI DIO'!$C$1,'OPĆI DIO'!$N$4:$W$137,9,FALSE))</f>
        <v>Sveučilišta i veleučilišta u Republici Hrvatskoj</v>
      </c>
      <c r="C296" s="50">
        <v>52</v>
      </c>
      <c r="D296" s="45" t="str">
        <f t="shared" si="47"/>
        <v>Ostale pomoći</v>
      </c>
      <c r="E296" s="50">
        <v>3111</v>
      </c>
      <c r="F296" s="45" t="str">
        <f t="shared" si="48"/>
        <v>Plaće za redovan rad</v>
      </c>
      <c r="G296" s="323" t="s">
        <v>176</v>
      </c>
      <c r="H296" s="45" t="str">
        <f t="shared" si="49"/>
        <v>REDOVNA DJELATNOST SVEUČILIŠTA U OSIJEKU (IZ EVIDENCIJSKIH PRIHODA)</v>
      </c>
      <c r="I296" s="45" t="str">
        <f t="shared" si="50"/>
        <v>0942</v>
      </c>
      <c r="J296" s="81">
        <v>2097</v>
      </c>
      <c r="K296" s="81"/>
      <c r="L296" s="81"/>
      <c r="M296" s="49"/>
      <c r="N296" s="246" t="str">
        <f>IF(C296="","",'OPĆI DIO'!$C$1)</f>
        <v>2452 SVEUČILIŠTE J. J. STROSSMAYERA U OSIJEKU</v>
      </c>
      <c r="O296" s="40" t="str">
        <f t="shared" si="51"/>
        <v>311</v>
      </c>
      <c r="P296" s="40" t="str">
        <f t="shared" si="52"/>
        <v>31</v>
      </c>
      <c r="Q296" s="40" t="str">
        <f t="shared" si="53"/>
        <v>52</v>
      </c>
      <c r="R296" s="40" t="str">
        <f t="shared" si="54"/>
        <v>94</v>
      </c>
      <c r="S296" s="40" t="str">
        <f t="shared" si="55"/>
        <v>3</v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>08006</v>
      </c>
      <c r="B297" s="44" t="str">
        <f>IF(C297="","",VLOOKUP('OPĆI DIO'!$C$1,'OPĆI DIO'!$N$4:$W$137,9,FALSE))</f>
        <v>Sveučilišta i veleučilišta u Republici Hrvatskoj</v>
      </c>
      <c r="C297" s="50">
        <v>52</v>
      </c>
      <c r="D297" s="45" t="str">
        <f t="shared" si="47"/>
        <v>Ostale pomoći</v>
      </c>
      <c r="E297" s="50">
        <v>3111</v>
      </c>
      <c r="F297" s="45" t="str">
        <f t="shared" si="48"/>
        <v>Plaće za redovan rad</v>
      </c>
      <c r="G297" s="323" t="s">
        <v>176</v>
      </c>
      <c r="H297" s="45" t="str">
        <f t="shared" si="49"/>
        <v>REDOVNA DJELATNOST SVEUČILIŠTA U OSIJEKU (IZ EVIDENCIJSKIH PRIHODA)</v>
      </c>
      <c r="I297" s="45" t="str">
        <f t="shared" si="50"/>
        <v>0942</v>
      </c>
      <c r="J297" s="81">
        <v>24000</v>
      </c>
      <c r="K297" s="81">
        <v>24000</v>
      </c>
      <c r="L297" s="81">
        <v>5000</v>
      </c>
      <c r="M297" s="49"/>
      <c r="N297" s="246" t="str">
        <f>IF(C297="","",'OPĆI DIO'!$C$1)</f>
        <v>2452 SVEUČILIŠTE J. J. STROSSMAYERA U OSIJEKU</v>
      </c>
      <c r="O297" s="40" t="str">
        <f t="shared" si="51"/>
        <v>311</v>
      </c>
      <c r="P297" s="40" t="str">
        <f t="shared" si="52"/>
        <v>31</v>
      </c>
      <c r="Q297" s="40" t="str">
        <f t="shared" si="53"/>
        <v>52</v>
      </c>
      <c r="R297" s="40" t="str">
        <f t="shared" si="54"/>
        <v>94</v>
      </c>
      <c r="S297" s="40" t="str">
        <f t="shared" si="55"/>
        <v>3</v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 ht="15.75" thickBot="1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375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ref="AC9:AD71">
    <sortCondition ref="AC6"/>
  </sortState>
  <mergeCells count="1">
    <mergeCell ref="A1:D1"/>
  </mergeCells>
  <conditionalFormatting sqref="M3:M501">
    <cfRule type="expression" dxfId="0" priority="3">
      <formula>IF(OR(E3=3691,E3=3692,E3=3693,E3=3694),1,0)</formula>
    </cfRule>
  </conditionalFormatting>
  <conditionalFormatting sqref="J112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tabSelected="1" zoomScale="90" zoomScaleNormal="90" workbookViewId="0">
      <pane ySplit="2" topLeftCell="A3" activePane="bottomLeft" state="frozen"/>
      <selection pane="bottomLeft" activeCell="I19" sqref="I19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91" t="s">
        <v>656</v>
      </c>
      <c r="B1" s="391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50">
        <v>52</v>
      </c>
      <c r="B3" s="45" t="str">
        <f t="shared" ref="B3" si="0">IFERROR(VLOOKUP(A3,$V$6:$W$23,2,FALSE),"")</f>
        <v>Ostale pomoći</v>
      </c>
      <c r="C3" s="50">
        <v>3111</v>
      </c>
      <c r="D3" s="45" t="str">
        <f>IFERROR(VLOOKUP(C3,$Y$5:$AA$129,2,FALSE),"")</f>
        <v>Plaće za redovan rad</v>
      </c>
      <c r="E3" s="82" t="s">
        <v>690</v>
      </c>
      <c r="F3" s="45" t="str">
        <f>IFERROR(VLOOKUP(E3,$AE$6:$AF$1090,2,FALSE),"")</f>
        <v>ERASMUS+ projekt individualne mobilnosti nastavnog i nenastavnog osoblja kroz boravak na inozemnim ustanovama</v>
      </c>
      <c r="G3" s="45" t="str">
        <f>IFERROR(VLOOKUP(E3,$AE$6:$AH$1090,4,FALSE),"")</f>
        <v>0942</v>
      </c>
      <c r="H3" s="224">
        <v>15000</v>
      </c>
      <c r="I3" s="224">
        <v>15000</v>
      </c>
      <c r="J3" s="224">
        <v>5000</v>
      </c>
      <c r="K3" s="218" t="s">
        <v>4828</v>
      </c>
      <c r="L3" s="92"/>
      <c r="M3" s="92"/>
      <c r="N3" s="93"/>
      <c r="O3" s="218"/>
      <c r="P3" s="49"/>
      <c r="Q3" s="246" t="str">
        <f>IF(C3="","",'OPĆI DIO'!$C$1)</f>
        <v>2452 SVEUČILIŠTE J. J. STROSSMAYERA U OSIJEKU</v>
      </c>
      <c r="R3" s="40" t="str">
        <f>LEFT(C3,3)</f>
        <v>311</v>
      </c>
      <c r="S3" s="40" t="str">
        <f>LEFT(C3,2)</f>
        <v>31</v>
      </c>
      <c r="T3" s="40" t="str">
        <f>MID(G3,2,2)</f>
        <v>94</v>
      </c>
      <c r="U3" s="40" t="str">
        <f>LEFT(C3,1)</f>
        <v>3</v>
      </c>
    </row>
    <row r="4" spans="1:34">
      <c r="A4" s="50">
        <v>52</v>
      </c>
      <c r="B4" s="45" t="str">
        <f t="shared" ref="B4:B67" si="1">IFERROR(VLOOKUP(A4,$V$6:$W$23,2,FALSE),"")</f>
        <v>Ostale pomoći</v>
      </c>
      <c r="C4" s="50">
        <v>3132</v>
      </c>
      <c r="D4" s="45" t="str">
        <f t="shared" ref="D4:D67" si="2">IFERROR(VLOOKUP(C4,$Y$5:$AA$129,2,FALSE),"")</f>
        <v>Doprinosi za obvezno zdravstveno osiguranje</v>
      </c>
      <c r="E4" s="82" t="s">
        <v>690</v>
      </c>
      <c r="F4" s="45" t="str">
        <f t="shared" ref="F4:F67" si="3">IFERROR(VLOOKUP(E4,$AE$6:$AF$1090,2,FALSE),"")</f>
        <v>ERASMUS+ projekt individualne mobilnosti nastavnog i nenastavnog osoblja kroz boravak na inozemnim ustanovama</v>
      </c>
      <c r="G4" s="45" t="str">
        <f t="shared" ref="G4:G67" si="4">IFERROR(VLOOKUP(E4,$AE$6:$AH$1090,4,FALSE),"")</f>
        <v>0942</v>
      </c>
      <c r="H4" s="224">
        <v>3000</v>
      </c>
      <c r="I4" s="224">
        <v>3000</v>
      </c>
      <c r="J4" s="224">
        <v>500</v>
      </c>
      <c r="K4" s="218" t="s">
        <v>4828</v>
      </c>
      <c r="L4" s="92"/>
      <c r="M4" s="92"/>
      <c r="N4" s="93"/>
      <c r="O4" s="218"/>
      <c r="P4" s="49"/>
      <c r="Q4" s="246" t="str">
        <f>IF(C4="","",'OPĆI DIO'!$C$1)</f>
        <v>2452 SVEUČILIŠTE J. J. STROSSMAYERA U OSIJEKU</v>
      </c>
      <c r="R4" s="40" t="str">
        <f t="shared" ref="R4:R67" si="5">LEFT(C4,3)</f>
        <v>313</v>
      </c>
      <c r="S4" s="40" t="str">
        <f t="shared" ref="S4:S67" si="6">LEFT(C4,2)</f>
        <v>31</v>
      </c>
      <c r="T4" s="40" t="str">
        <f t="shared" ref="T4:T67" si="7">MID(G4,2,2)</f>
        <v>94</v>
      </c>
      <c r="U4" s="40" t="str">
        <f t="shared" ref="U4:U67" si="8">LEFT(C4,1)</f>
        <v>3</v>
      </c>
      <c r="Y4" s="46"/>
      <c r="Z4" s="46"/>
    </row>
    <row r="5" spans="1:34">
      <c r="A5" s="50">
        <v>52</v>
      </c>
      <c r="B5" s="45" t="str">
        <f t="shared" si="1"/>
        <v>Ostale pomoći</v>
      </c>
      <c r="C5" s="50">
        <v>3723</v>
      </c>
      <c r="D5" s="45" t="str">
        <f t="shared" si="2"/>
        <v>Naknade građanima i kućanstvima iz EU sredstava</v>
      </c>
      <c r="E5" s="82" t="s">
        <v>690</v>
      </c>
      <c r="F5" s="45" t="str">
        <f t="shared" si="3"/>
        <v>ERASMUS+ projekt individualne mobilnosti nastavnog i nenastavnog osoblja kroz boravak na inozemnim ustanovama</v>
      </c>
      <c r="G5" s="45" t="str">
        <f t="shared" si="4"/>
        <v>0942</v>
      </c>
      <c r="H5" s="224">
        <v>300000</v>
      </c>
      <c r="I5" s="224">
        <v>250000</v>
      </c>
      <c r="J5" s="224">
        <v>100000</v>
      </c>
      <c r="K5" s="218" t="s">
        <v>4828</v>
      </c>
      <c r="L5" s="92"/>
      <c r="M5" s="92"/>
      <c r="N5" s="93"/>
      <c r="O5" s="218"/>
      <c r="P5" s="49"/>
      <c r="Q5" s="246" t="str">
        <f>IF(C5="","",'OPĆI DIO'!$C$1)</f>
        <v>2452 SVEUČILIŠTE J. J. STROSSMAYERA U OSIJEKU</v>
      </c>
      <c r="R5" s="40" t="str">
        <f t="shared" si="5"/>
        <v>372</v>
      </c>
      <c r="S5" s="40" t="str">
        <f t="shared" si="6"/>
        <v>37</v>
      </c>
      <c r="T5" s="40" t="str">
        <f t="shared" si="7"/>
        <v>94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50">
        <v>52</v>
      </c>
      <c r="B6" s="45" t="str">
        <f t="shared" si="1"/>
        <v>Ostale pomoći</v>
      </c>
      <c r="C6" s="50">
        <v>3211</v>
      </c>
      <c r="D6" s="45" t="str">
        <f t="shared" si="2"/>
        <v>Službena putovanja</v>
      </c>
      <c r="E6" s="82" t="s">
        <v>690</v>
      </c>
      <c r="F6" s="45" t="str">
        <f t="shared" si="3"/>
        <v>ERASMUS+ projekt individualne mobilnosti nastavnog i nenastavnog osoblja kroz boravak na inozemnim ustanovama</v>
      </c>
      <c r="G6" s="45" t="str">
        <f t="shared" si="4"/>
        <v>0942</v>
      </c>
      <c r="H6" s="224">
        <v>30000</v>
      </c>
      <c r="I6" s="224">
        <v>25000</v>
      </c>
      <c r="J6" s="224">
        <v>10000</v>
      </c>
      <c r="K6" s="218" t="s">
        <v>4828</v>
      </c>
      <c r="L6" s="92"/>
      <c r="M6" s="92"/>
      <c r="N6" s="93"/>
      <c r="O6" s="218"/>
      <c r="P6" s="49"/>
      <c r="Q6" s="246" t="str">
        <f>IF(C6="","",'OPĆI DIO'!$C$1)</f>
        <v>2452 SVEUČILIŠTE J. J. STROSSMAYERA U OSIJEKU</v>
      </c>
      <c r="R6" s="40" t="str">
        <f t="shared" si="5"/>
        <v>321</v>
      </c>
      <c r="S6" s="40" t="str">
        <f t="shared" si="6"/>
        <v>32</v>
      </c>
      <c r="T6" s="40" t="str">
        <f t="shared" si="7"/>
        <v>94</v>
      </c>
      <c r="U6" s="40" t="str">
        <f t="shared" si="8"/>
        <v>3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50">
        <v>52</v>
      </c>
      <c r="B7" s="45" t="str">
        <f t="shared" si="1"/>
        <v>Ostale pomoći</v>
      </c>
      <c r="C7" s="50">
        <v>3221</v>
      </c>
      <c r="D7" s="45" t="str">
        <f t="shared" si="2"/>
        <v>Uredski materijal i ostali materijalni rashodi</v>
      </c>
      <c r="E7" s="82" t="s">
        <v>690</v>
      </c>
      <c r="F7" s="45" t="str">
        <f t="shared" si="3"/>
        <v>ERASMUS+ projekt individualne mobilnosti nastavnog i nenastavnog osoblja kroz boravak na inozemnim ustanovama</v>
      </c>
      <c r="G7" s="45" t="str">
        <f t="shared" si="4"/>
        <v>0942</v>
      </c>
      <c r="H7" s="224">
        <v>1000</v>
      </c>
      <c r="I7" s="224">
        <v>1000</v>
      </c>
      <c r="J7" s="224">
        <v>500</v>
      </c>
      <c r="K7" s="218" t="s">
        <v>4828</v>
      </c>
      <c r="L7" s="92"/>
      <c r="M7" s="92"/>
      <c r="N7" s="93"/>
      <c r="O7" s="218"/>
      <c r="P7" s="49"/>
      <c r="Q7" s="246" t="str">
        <f>IF(C7="","",'OPĆI DIO'!$C$1)</f>
        <v>2452 SVEUČILIŠTE J. J. STROSSMAYERA U OSIJEKU</v>
      </c>
      <c r="R7" s="40" t="str">
        <f t="shared" si="5"/>
        <v>322</v>
      </c>
      <c r="S7" s="40" t="str">
        <f t="shared" si="6"/>
        <v>32</v>
      </c>
      <c r="T7" s="40" t="str">
        <f t="shared" si="7"/>
        <v>94</v>
      </c>
      <c r="U7" s="40" t="str">
        <f t="shared" si="8"/>
        <v>3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50">
        <v>52</v>
      </c>
      <c r="B8" s="45" t="str">
        <f t="shared" si="1"/>
        <v>Ostale pomoći</v>
      </c>
      <c r="C8" s="50">
        <v>3233</v>
      </c>
      <c r="D8" s="45" t="str">
        <f t="shared" si="2"/>
        <v>Usluge promidžbe i informiranja</v>
      </c>
      <c r="E8" s="82" t="s">
        <v>690</v>
      </c>
      <c r="F8" s="45" t="str">
        <f t="shared" si="3"/>
        <v>ERASMUS+ projekt individualne mobilnosti nastavnog i nenastavnog osoblja kroz boravak na inozemnim ustanovama</v>
      </c>
      <c r="G8" s="45" t="str">
        <f t="shared" si="4"/>
        <v>0942</v>
      </c>
      <c r="H8" s="224">
        <v>2000</v>
      </c>
      <c r="I8" s="224">
        <v>2000</v>
      </c>
      <c r="J8" s="224">
        <v>500</v>
      </c>
      <c r="K8" s="218" t="s">
        <v>4828</v>
      </c>
      <c r="L8" s="92"/>
      <c r="M8" s="92"/>
      <c r="N8" s="93"/>
      <c r="O8" s="218"/>
      <c r="P8" s="49"/>
      <c r="Q8" s="246" t="str">
        <f>IF(C8="","",'OPĆI DIO'!$C$1)</f>
        <v>2452 SVEUČILIŠTE J. J. STROSSMAYERA U OSIJEKU</v>
      </c>
      <c r="R8" s="40" t="str">
        <f t="shared" si="5"/>
        <v>323</v>
      </c>
      <c r="S8" s="40" t="str">
        <f t="shared" si="6"/>
        <v>32</v>
      </c>
      <c r="T8" s="40" t="str">
        <f t="shared" si="7"/>
        <v>94</v>
      </c>
      <c r="U8" s="40" t="str">
        <f t="shared" si="8"/>
        <v>3</v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50">
        <v>52</v>
      </c>
      <c r="B9" s="45" t="str">
        <f t="shared" si="1"/>
        <v>Ostale pomoći</v>
      </c>
      <c r="C9" s="50">
        <v>3237</v>
      </c>
      <c r="D9" s="45" t="str">
        <f t="shared" si="2"/>
        <v>Intelektualne i osobne usluge</v>
      </c>
      <c r="E9" s="82" t="s">
        <v>690</v>
      </c>
      <c r="F9" s="45" t="str">
        <f t="shared" si="3"/>
        <v>ERASMUS+ projekt individualne mobilnosti nastavnog i nenastavnog osoblja kroz boravak na inozemnim ustanovama</v>
      </c>
      <c r="G9" s="45" t="str">
        <f t="shared" si="4"/>
        <v>0942</v>
      </c>
      <c r="H9" s="224">
        <v>30000</v>
      </c>
      <c r="I9" s="224">
        <v>25000</v>
      </c>
      <c r="J9" s="224">
        <v>5000</v>
      </c>
      <c r="K9" s="218" t="s">
        <v>4828</v>
      </c>
      <c r="L9" s="92"/>
      <c r="M9" s="92"/>
      <c r="N9" s="93"/>
      <c r="O9" s="218"/>
      <c r="P9" s="49"/>
      <c r="Q9" s="246" t="str">
        <f>IF(C9="","",'OPĆI DIO'!$C$1)</f>
        <v>2452 SVEUČILIŠTE J. J. STROSSMAYERA U OSIJEKU</v>
      </c>
      <c r="R9" s="40" t="str">
        <f t="shared" si="5"/>
        <v>323</v>
      </c>
      <c r="S9" s="40" t="str">
        <f t="shared" si="6"/>
        <v>32</v>
      </c>
      <c r="T9" s="40" t="str">
        <f t="shared" si="7"/>
        <v>94</v>
      </c>
      <c r="U9" s="40" t="str">
        <f t="shared" si="8"/>
        <v>3</v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50">
        <v>52</v>
      </c>
      <c r="B10" s="45" t="str">
        <f t="shared" si="1"/>
        <v>Ostale pomoći</v>
      </c>
      <c r="C10" s="50">
        <v>3239</v>
      </c>
      <c r="D10" s="45" t="str">
        <f t="shared" si="2"/>
        <v>Ostale usluge</v>
      </c>
      <c r="E10" s="82" t="s">
        <v>690</v>
      </c>
      <c r="F10" s="45" t="str">
        <f t="shared" si="3"/>
        <v>ERASMUS+ projekt individualne mobilnosti nastavnog i nenastavnog osoblja kroz boravak na inozemnim ustanovama</v>
      </c>
      <c r="G10" s="45" t="str">
        <f t="shared" si="4"/>
        <v>0942</v>
      </c>
      <c r="H10" s="224">
        <v>1000</v>
      </c>
      <c r="I10" s="224">
        <v>1000</v>
      </c>
      <c r="J10" s="224">
        <v>500</v>
      </c>
      <c r="K10" s="218" t="s">
        <v>4828</v>
      </c>
      <c r="L10" s="92"/>
      <c r="M10" s="92"/>
      <c r="N10" s="93"/>
      <c r="O10" s="218"/>
      <c r="P10" s="49"/>
      <c r="Q10" s="246" t="str">
        <f>IF(C10="","",'OPĆI DIO'!$C$1)</f>
        <v>2452 SVEUČILIŠTE J. J. STROSSMAYERA U OSIJEKU</v>
      </c>
      <c r="R10" s="40" t="str">
        <f t="shared" si="5"/>
        <v>323</v>
      </c>
      <c r="S10" s="40" t="str">
        <f t="shared" si="6"/>
        <v>32</v>
      </c>
      <c r="T10" s="40" t="str">
        <f t="shared" si="7"/>
        <v>94</v>
      </c>
      <c r="U10" s="40" t="str">
        <f t="shared" si="8"/>
        <v>3</v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50">
        <v>52</v>
      </c>
      <c r="B11" s="45" t="str">
        <f t="shared" si="1"/>
        <v>Ostale pomoći</v>
      </c>
      <c r="C11" s="50">
        <v>3241</v>
      </c>
      <c r="D11" s="45" t="str">
        <f t="shared" si="2"/>
        <v>Naknade troškova osobama izvan radnog odnosa</v>
      </c>
      <c r="E11" s="82" t="s">
        <v>690</v>
      </c>
      <c r="F11" s="45" t="str">
        <f t="shared" si="3"/>
        <v>ERASMUS+ projekt individualne mobilnosti nastavnog i nenastavnog osoblja kroz boravak na inozemnim ustanovama</v>
      </c>
      <c r="G11" s="45" t="str">
        <f t="shared" si="4"/>
        <v>0942</v>
      </c>
      <c r="H11" s="224">
        <v>0</v>
      </c>
      <c r="I11" s="224">
        <v>0</v>
      </c>
      <c r="J11" s="224">
        <v>0</v>
      </c>
      <c r="K11" s="218" t="s">
        <v>4828</v>
      </c>
      <c r="L11" s="92"/>
      <c r="M11" s="92"/>
      <c r="N11" s="93"/>
      <c r="O11" s="218"/>
      <c r="P11" s="49"/>
      <c r="Q11" s="246" t="str">
        <f>IF(C11="","",'OPĆI DIO'!$C$1)</f>
        <v>2452 SVEUČILIŠTE J. J. STROSSMAYERA U OSIJEKU</v>
      </c>
      <c r="R11" s="40" t="str">
        <f t="shared" si="5"/>
        <v>324</v>
      </c>
      <c r="S11" s="40" t="str">
        <f t="shared" si="6"/>
        <v>32</v>
      </c>
      <c r="T11" s="40" t="str">
        <f t="shared" si="7"/>
        <v>94</v>
      </c>
      <c r="U11" s="40" t="str">
        <f t="shared" si="8"/>
        <v>3</v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50">
        <v>52</v>
      </c>
      <c r="B12" s="45" t="str">
        <f t="shared" si="1"/>
        <v>Ostale pomoći</v>
      </c>
      <c r="C12" s="50">
        <v>3293</v>
      </c>
      <c r="D12" s="45" t="str">
        <f t="shared" si="2"/>
        <v>Reprezentacija</v>
      </c>
      <c r="E12" s="82" t="s">
        <v>690</v>
      </c>
      <c r="F12" s="45" t="str">
        <f t="shared" si="3"/>
        <v>ERASMUS+ projekt individualne mobilnosti nastavnog i nenastavnog osoblja kroz boravak na inozemnim ustanovama</v>
      </c>
      <c r="G12" s="45" t="str">
        <f t="shared" si="4"/>
        <v>0942</v>
      </c>
      <c r="H12" s="224">
        <v>10000</v>
      </c>
      <c r="I12" s="224">
        <v>10000</v>
      </c>
      <c r="J12" s="224">
        <v>500</v>
      </c>
      <c r="K12" s="218" t="s">
        <v>4828</v>
      </c>
      <c r="L12" s="92"/>
      <c r="M12" s="92"/>
      <c r="N12" s="93"/>
      <c r="O12" s="218"/>
      <c r="P12" s="49"/>
      <c r="Q12" s="246" t="str">
        <f>IF(C12="","",'OPĆI DIO'!$C$1)</f>
        <v>2452 SVEUČILIŠTE J. J. STROSSMAYERA U OSIJEKU</v>
      </c>
      <c r="R12" s="40" t="str">
        <f t="shared" si="5"/>
        <v>329</v>
      </c>
      <c r="S12" s="40" t="str">
        <f t="shared" si="6"/>
        <v>32</v>
      </c>
      <c r="T12" s="40" t="str">
        <f t="shared" si="7"/>
        <v>94</v>
      </c>
      <c r="U12" s="40" t="str">
        <f t="shared" si="8"/>
        <v>3</v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50">
        <v>52</v>
      </c>
      <c r="B13" s="45" t="str">
        <f t="shared" si="1"/>
        <v>Ostale pomoći</v>
      </c>
      <c r="C13" s="50">
        <v>3299</v>
      </c>
      <c r="D13" s="45" t="str">
        <f t="shared" si="2"/>
        <v>Ostali nespomenuti rashodi poslovanja</v>
      </c>
      <c r="E13" s="82" t="s">
        <v>690</v>
      </c>
      <c r="F13" s="45" t="str">
        <f t="shared" si="3"/>
        <v>ERASMUS+ projekt individualne mobilnosti nastavnog i nenastavnog osoblja kroz boravak na inozemnim ustanovama</v>
      </c>
      <c r="G13" s="45" t="str">
        <f t="shared" si="4"/>
        <v>0942</v>
      </c>
      <c r="H13" s="224">
        <v>5000</v>
      </c>
      <c r="I13" s="224">
        <v>5000</v>
      </c>
      <c r="J13" s="224">
        <v>400</v>
      </c>
      <c r="K13" s="218" t="s">
        <v>4828</v>
      </c>
      <c r="L13" s="92"/>
      <c r="M13" s="92"/>
      <c r="N13" s="93"/>
      <c r="O13" s="218"/>
      <c r="P13" s="49"/>
      <c r="Q13" s="246" t="str">
        <f>IF(C13="","",'OPĆI DIO'!$C$1)</f>
        <v>2452 SVEUČILIŠTE J. J. STROSSMAYERA U OSIJEKU</v>
      </c>
      <c r="R13" s="40" t="str">
        <f t="shared" si="5"/>
        <v>329</v>
      </c>
      <c r="S13" s="40" t="str">
        <f t="shared" si="6"/>
        <v>32</v>
      </c>
      <c r="T13" s="40" t="str">
        <f t="shared" si="7"/>
        <v>94</v>
      </c>
      <c r="U13" s="40" t="str">
        <f t="shared" si="8"/>
        <v>3</v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50">
        <v>12</v>
      </c>
      <c r="B14" s="45" t="str">
        <f t="shared" si="1"/>
        <v>Sredstva učešća za pomoći</v>
      </c>
      <c r="C14" s="50">
        <v>3299</v>
      </c>
      <c r="D14" s="45" t="str">
        <f t="shared" si="2"/>
        <v>Ostali nespomenuti rashodi poslovanja</v>
      </c>
      <c r="E14" s="82" t="s">
        <v>740</v>
      </c>
      <c r="F14" s="45" t="str">
        <f t="shared" si="3"/>
        <v>Ulaganje u organizacijsku reformu i infrastrukturu sektora istraživanja, razvoja i inovacija</v>
      </c>
      <c r="G14" s="45" t="str">
        <f t="shared" si="4"/>
        <v>0942</v>
      </c>
      <c r="H14" s="224">
        <v>110848</v>
      </c>
      <c r="I14" s="224">
        <v>0</v>
      </c>
      <c r="J14" s="224">
        <v>0</v>
      </c>
      <c r="K14" s="93"/>
      <c r="L14" s="92"/>
      <c r="M14" s="92"/>
      <c r="N14" s="93"/>
      <c r="O14" s="218"/>
      <c r="P14" s="49"/>
      <c r="Q14" s="246" t="str">
        <f>IF(C14="","",'OPĆI DIO'!$C$1)</f>
        <v>2452 SVEUČILIŠTE J. J. STROSSMAYERA U OSIJEKU</v>
      </c>
      <c r="R14" s="40" t="str">
        <f t="shared" si="5"/>
        <v>329</v>
      </c>
      <c r="S14" s="40" t="str">
        <f t="shared" si="6"/>
        <v>32</v>
      </c>
      <c r="T14" s="40" t="str">
        <f t="shared" si="7"/>
        <v>94</v>
      </c>
      <c r="U14" s="40" t="str">
        <f t="shared" si="8"/>
        <v>3</v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50">
        <v>563</v>
      </c>
      <c r="B15" s="45" t="str">
        <f t="shared" si="1"/>
        <v>Europski fond za regionalni razvoj (ERDF)</v>
      </c>
      <c r="C15" s="50">
        <v>3299</v>
      </c>
      <c r="D15" s="45" t="str">
        <f t="shared" si="2"/>
        <v>Ostali nespomenuti rashodi poslovanja</v>
      </c>
      <c r="E15" s="82" t="s">
        <v>740</v>
      </c>
      <c r="F15" s="45" t="str">
        <f t="shared" si="3"/>
        <v>Ulaganje u organizacijsku reformu i infrastrukturu sektora istraživanja, razvoja i inovacija</v>
      </c>
      <c r="G15" s="45" t="str">
        <f t="shared" si="4"/>
        <v>0942</v>
      </c>
      <c r="H15" s="224">
        <v>628140</v>
      </c>
      <c r="I15" s="224">
        <v>0</v>
      </c>
      <c r="J15" s="224">
        <v>0</v>
      </c>
      <c r="K15" s="93"/>
      <c r="L15" s="92"/>
      <c r="M15" s="92"/>
      <c r="N15" s="93"/>
      <c r="O15" s="218"/>
      <c r="P15" s="49"/>
      <c r="Q15" s="246" t="str">
        <f>IF(C15="","",'OPĆI DIO'!$C$1)</f>
        <v>2452 SVEUČILIŠTE J. J. STROSSMAYERA U OSIJEKU</v>
      </c>
      <c r="R15" s="40" t="str">
        <f t="shared" si="5"/>
        <v>329</v>
      </c>
      <c r="S15" s="40" t="str">
        <f t="shared" si="6"/>
        <v>32</v>
      </c>
      <c r="T15" s="40" t="str">
        <f t="shared" si="7"/>
        <v>94</v>
      </c>
      <c r="U15" s="40" t="str">
        <f t="shared" si="8"/>
        <v>3</v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50">
        <v>52</v>
      </c>
      <c r="B16" s="45" t="str">
        <f t="shared" si="1"/>
        <v>Ostale pomoći</v>
      </c>
      <c r="C16" s="50">
        <v>3299</v>
      </c>
      <c r="D16" s="45" t="str">
        <f t="shared" si="2"/>
        <v>Ostali nespomenuti rashodi poslovanja</v>
      </c>
      <c r="E16" s="82" t="s">
        <v>689</v>
      </c>
      <c r="F16" s="45" t="str">
        <f t="shared" si="3"/>
        <v>NOVI PODPROJEKT</v>
      </c>
      <c r="G16" s="45" t="str">
        <f t="shared" si="4"/>
        <v>NOVI PODPROJEKT</v>
      </c>
      <c r="H16" s="224">
        <f>38724+4275+18627+28500</f>
        <v>90126</v>
      </c>
      <c r="I16" s="224">
        <v>0</v>
      </c>
      <c r="J16" s="224">
        <v>0</v>
      </c>
      <c r="K16" s="93" t="s">
        <v>4829</v>
      </c>
      <c r="L16" s="92"/>
      <c r="M16" s="92" t="s">
        <v>4831</v>
      </c>
      <c r="N16" s="93" t="s">
        <v>4830</v>
      </c>
      <c r="O16" s="218"/>
      <c r="P16" s="49"/>
      <c r="Q16" s="246" t="str">
        <f>IF(C16="","",'OPĆI DIO'!$C$1)</f>
        <v>2452 SVEUČILIŠTE J. J. STROSSMAYERA U OSIJEKU</v>
      </c>
      <c r="R16" s="40" t="str">
        <f t="shared" si="5"/>
        <v>329</v>
      </c>
      <c r="S16" s="40" t="str">
        <f t="shared" si="6"/>
        <v>32</v>
      </c>
      <c r="T16" s="40" t="str">
        <f t="shared" si="7"/>
        <v>OV</v>
      </c>
      <c r="U16" s="40" t="str">
        <f t="shared" si="8"/>
        <v>3</v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24">
        <v>51</v>
      </c>
      <c r="B17" s="45" t="str">
        <f t="shared" si="1"/>
        <v>Pomoći EU</v>
      </c>
      <c r="C17" s="326">
        <v>3241</v>
      </c>
      <c r="D17" s="45" t="str">
        <f t="shared" si="2"/>
        <v>Naknade troškova osobama izvan radnog odnosa</v>
      </c>
      <c r="E17" s="323" t="s">
        <v>689</v>
      </c>
      <c r="F17" s="45" t="str">
        <f t="shared" si="3"/>
        <v>NOVI PODPROJEKT</v>
      </c>
      <c r="G17" s="45" t="str">
        <f t="shared" si="4"/>
        <v>NOVI PODPROJEKT</v>
      </c>
      <c r="H17" s="224">
        <v>9000</v>
      </c>
      <c r="I17" s="224">
        <v>9000</v>
      </c>
      <c r="J17" s="224">
        <v>9000</v>
      </c>
      <c r="K17" s="93" t="s">
        <v>4833</v>
      </c>
      <c r="L17" s="92" t="s">
        <v>4834</v>
      </c>
      <c r="M17" s="92" t="s">
        <v>4835</v>
      </c>
      <c r="N17" s="93" t="s">
        <v>4836</v>
      </c>
      <c r="O17" s="218" t="s">
        <v>4837</v>
      </c>
      <c r="P17" s="49"/>
      <c r="Q17" s="246" t="str">
        <f>IF(C17="","",'OPĆI DIO'!$C$1)</f>
        <v>2452 SVEUČILIŠTE J. J. STROSSMAYERA U OSIJEKU</v>
      </c>
      <c r="R17" s="40" t="str">
        <f t="shared" si="5"/>
        <v>324</v>
      </c>
      <c r="S17" s="40" t="str">
        <f t="shared" si="6"/>
        <v>32</v>
      </c>
      <c r="T17" s="40" t="str">
        <f t="shared" si="7"/>
        <v>OV</v>
      </c>
      <c r="U17" s="40" t="str">
        <f t="shared" si="8"/>
        <v>3</v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24">
        <v>51</v>
      </c>
      <c r="B18" s="45" t="str">
        <f t="shared" si="1"/>
        <v>Pomoći EU</v>
      </c>
      <c r="C18" s="326">
        <v>3211</v>
      </c>
      <c r="D18" s="45" t="str">
        <f t="shared" si="2"/>
        <v>Službena putovanja</v>
      </c>
      <c r="E18" s="323" t="s">
        <v>689</v>
      </c>
      <c r="F18" s="45" t="str">
        <f t="shared" si="3"/>
        <v>NOVI PODPROJEKT</v>
      </c>
      <c r="G18" s="45" t="str">
        <f t="shared" si="4"/>
        <v>NOVI PODPROJEKT</v>
      </c>
      <c r="H18" s="224">
        <v>3500</v>
      </c>
      <c r="I18" s="224">
        <v>3500</v>
      </c>
      <c r="J18" s="224">
        <v>3500</v>
      </c>
      <c r="K18" s="93" t="s">
        <v>4833</v>
      </c>
      <c r="L18" s="92" t="s">
        <v>4834</v>
      </c>
      <c r="M18" s="92" t="s">
        <v>4835</v>
      </c>
      <c r="N18" s="93" t="s">
        <v>4836</v>
      </c>
      <c r="O18" s="218" t="s">
        <v>4837</v>
      </c>
      <c r="P18" s="49"/>
      <c r="Q18" s="246" t="str">
        <f>IF(C18="","",'OPĆI DIO'!$C$1)</f>
        <v>2452 SVEUČILIŠTE J. J. STROSSMAYERA U OSIJEKU</v>
      </c>
      <c r="R18" s="40" t="str">
        <f t="shared" si="5"/>
        <v>321</v>
      </c>
      <c r="S18" s="40" t="str">
        <f t="shared" si="6"/>
        <v>32</v>
      </c>
      <c r="T18" s="40" t="str">
        <f t="shared" si="7"/>
        <v>OV</v>
      </c>
      <c r="U18" s="40" t="str">
        <f t="shared" si="8"/>
        <v>3</v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24">
        <v>51</v>
      </c>
      <c r="B19" s="45" t="str">
        <f t="shared" si="1"/>
        <v>Pomoći EU</v>
      </c>
      <c r="C19" s="326">
        <v>3237</v>
      </c>
      <c r="D19" s="45" t="str">
        <f t="shared" si="2"/>
        <v>Intelektualne i osobne usluge</v>
      </c>
      <c r="E19" s="323" t="s">
        <v>689</v>
      </c>
      <c r="F19" s="45" t="str">
        <f t="shared" si="3"/>
        <v>NOVI PODPROJEKT</v>
      </c>
      <c r="G19" s="45" t="str">
        <f t="shared" si="4"/>
        <v>NOVI PODPROJEKT</v>
      </c>
      <c r="H19" s="224">
        <v>7500</v>
      </c>
      <c r="I19" s="224">
        <v>7500</v>
      </c>
      <c r="J19" s="224">
        <v>7500</v>
      </c>
      <c r="K19" s="93" t="s">
        <v>4833</v>
      </c>
      <c r="L19" s="92" t="s">
        <v>4834</v>
      </c>
      <c r="M19" s="92" t="s">
        <v>4835</v>
      </c>
      <c r="N19" s="93" t="s">
        <v>4836</v>
      </c>
      <c r="O19" s="218" t="s">
        <v>4837</v>
      </c>
      <c r="P19" s="49"/>
      <c r="Q19" s="246" t="str">
        <f>IF(C19="","",'OPĆI DIO'!$C$1)</f>
        <v>2452 SVEUČILIŠTE J. J. STROSSMAYERA U OSIJEKU</v>
      </c>
      <c r="R19" s="40" t="str">
        <f t="shared" si="5"/>
        <v>323</v>
      </c>
      <c r="S19" s="40" t="str">
        <f t="shared" si="6"/>
        <v>32</v>
      </c>
      <c r="T19" s="40" t="str">
        <f t="shared" si="7"/>
        <v>OV</v>
      </c>
      <c r="U19" s="40" t="str">
        <f t="shared" si="8"/>
        <v>3</v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50"/>
      <c r="B20" s="45" t="str">
        <f t="shared" si="1"/>
        <v/>
      </c>
      <c r="C20" s="50"/>
      <c r="D20" s="45" t="str">
        <f t="shared" si="2"/>
        <v/>
      </c>
      <c r="E20" s="82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218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50"/>
      <c r="B21" s="45" t="str">
        <f t="shared" si="1"/>
        <v/>
      </c>
      <c r="C21" s="50"/>
      <c r="D21" s="45" t="str">
        <f t="shared" si="2"/>
        <v/>
      </c>
      <c r="E21" s="82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218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50"/>
      <c r="B22" s="45" t="str">
        <f t="shared" si="1"/>
        <v/>
      </c>
      <c r="C22" s="50"/>
      <c r="D22" s="45" t="str">
        <f t="shared" si="2"/>
        <v/>
      </c>
      <c r="E22" s="82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218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50"/>
      <c r="B23" s="45" t="str">
        <f t="shared" si="1"/>
        <v/>
      </c>
      <c r="C23" s="50"/>
      <c r="D23" s="45" t="str">
        <f t="shared" si="2"/>
        <v/>
      </c>
      <c r="E23" s="82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218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50"/>
      <c r="B24" s="45" t="str">
        <f t="shared" si="1"/>
        <v/>
      </c>
      <c r="C24" s="50"/>
      <c r="D24" s="45" t="str">
        <f t="shared" si="2"/>
        <v/>
      </c>
      <c r="E24" s="82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218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50"/>
      <c r="B25" s="45" t="str">
        <f t="shared" si="1"/>
        <v/>
      </c>
      <c r="C25" s="50"/>
      <c r="D25" s="45" t="str">
        <f t="shared" si="2"/>
        <v/>
      </c>
      <c r="E25" s="82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218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50"/>
      <c r="B26" s="45" t="str">
        <f t="shared" si="1"/>
        <v/>
      </c>
      <c r="C26" s="50"/>
      <c r="D26" s="45" t="str">
        <f t="shared" si="2"/>
        <v/>
      </c>
      <c r="E26" s="82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218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50"/>
      <c r="B27" s="45" t="str">
        <f t="shared" si="1"/>
        <v/>
      </c>
      <c r="C27" s="50"/>
      <c r="D27" s="45" t="str">
        <f t="shared" si="2"/>
        <v/>
      </c>
      <c r="E27" s="82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218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50"/>
      <c r="B28" s="45" t="str">
        <f t="shared" si="1"/>
        <v/>
      </c>
      <c r="C28" s="50"/>
      <c r="D28" s="45" t="str">
        <f t="shared" si="2"/>
        <v/>
      </c>
      <c r="E28" s="82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218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50"/>
      <c r="B29" s="45" t="str">
        <f t="shared" si="1"/>
        <v/>
      </c>
      <c r="C29" s="50"/>
      <c r="D29" s="45" t="str">
        <f t="shared" si="2"/>
        <v/>
      </c>
      <c r="E29" s="82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218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50"/>
      <c r="B30" s="45" t="str">
        <f t="shared" si="1"/>
        <v/>
      </c>
      <c r="C30" s="50"/>
      <c r="D30" s="45" t="str">
        <f t="shared" si="2"/>
        <v/>
      </c>
      <c r="E30" s="82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218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24"/>
      <c r="B31" s="45" t="str">
        <f t="shared" si="1"/>
        <v/>
      </c>
      <c r="C31" s="326"/>
      <c r="D31" s="45" t="str">
        <f t="shared" si="2"/>
        <v/>
      </c>
      <c r="E31" s="323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24"/>
      <c r="B32" s="45" t="str">
        <f t="shared" si="1"/>
        <v/>
      </c>
      <c r="C32" s="326"/>
      <c r="D32" s="45" t="str">
        <f t="shared" si="2"/>
        <v/>
      </c>
      <c r="E32" s="323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24"/>
      <c r="B33" s="45" t="str">
        <f t="shared" si="1"/>
        <v/>
      </c>
      <c r="C33" s="326"/>
      <c r="D33" s="45" t="str">
        <f t="shared" si="2"/>
        <v/>
      </c>
      <c r="E33" s="323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24"/>
      <c r="B34" s="45" t="str">
        <f t="shared" si="1"/>
        <v/>
      </c>
      <c r="C34" s="326"/>
      <c r="D34" s="45" t="str">
        <f t="shared" si="2"/>
        <v/>
      </c>
      <c r="E34" s="323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24"/>
      <c r="B35" s="45" t="str">
        <f t="shared" si="1"/>
        <v/>
      </c>
      <c r="C35" s="326"/>
      <c r="D35" s="45" t="str">
        <f t="shared" si="2"/>
        <v/>
      </c>
      <c r="E35" s="323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24"/>
      <c r="B36" s="45" t="str">
        <f t="shared" si="1"/>
        <v/>
      </c>
      <c r="C36" s="326"/>
      <c r="D36" s="45" t="str">
        <f t="shared" si="2"/>
        <v/>
      </c>
      <c r="E36" s="323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24"/>
      <c r="B37" s="45" t="str">
        <f t="shared" si="1"/>
        <v/>
      </c>
      <c r="C37" s="326"/>
      <c r="D37" s="45" t="str">
        <f t="shared" si="2"/>
        <v/>
      </c>
      <c r="E37" s="323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24"/>
      <c r="B38" s="45" t="str">
        <f t="shared" si="1"/>
        <v/>
      </c>
      <c r="C38" s="326"/>
      <c r="D38" s="45" t="str">
        <f t="shared" si="2"/>
        <v/>
      </c>
      <c r="E38" s="323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24"/>
      <c r="B39" s="45" t="str">
        <f t="shared" si="1"/>
        <v/>
      </c>
      <c r="C39" s="326"/>
      <c r="D39" s="45" t="str">
        <f t="shared" si="2"/>
        <v/>
      </c>
      <c r="E39" s="323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24"/>
      <c r="B40" s="45" t="str">
        <f t="shared" si="1"/>
        <v/>
      </c>
      <c r="C40" s="326"/>
      <c r="D40" s="45" t="str">
        <f t="shared" si="2"/>
        <v/>
      </c>
      <c r="E40" s="323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24"/>
      <c r="B41" s="45" t="str">
        <f t="shared" si="1"/>
        <v/>
      </c>
      <c r="C41" s="326"/>
      <c r="D41" s="45" t="str">
        <f t="shared" si="2"/>
        <v/>
      </c>
      <c r="E41" s="323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24"/>
      <c r="B42" s="45" t="str">
        <f t="shared" si="1"/>
        <v/>
      </c>
      <c r="C42" s="326"/>
      <c r="D42" s="45" t="str">
        <f t="shared" si="2"/>
        <v/>
      </c>
      <c r="E42" s="323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24"/>
      <c r="B43" s="45" t="str">
        <f t="shared" si="1"/>
        <v/>
      </c>
      <c r="C43" s="326"/>
      <c r="D43" s="45" t="str">
        <f t="shared" si="2"/>
        <v/>
      </c>
      <c r="E43" s="323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24"/>
      <c r="B44" s="45" t="str">
        <f t="shared" si="1"/>
        <v/>
      </c>
      <c r="C44" s="326"/>
      <c r="D44" s="45" t="str">
        <f t="shared" si="2"/>
        <v/>
      </c>
      <c r="E44" s="323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24"/>
      <c r="B45" s="45" t="str">
        <f t="shared" si="1"/>
        <v/>
      </c>
      <c r="C45" s="326"/>
      <c r="D45" s="45" t="str">
        <f t="shared" si="2"/>
        <v/>
      </c>
      <c r="E45" s="323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24"/>
      <c r="B46" s="45" t="str">
        <f t="shared" si="1"/>
        <v/>
      </c>
      <c r="C46" s="326"/>
      <c r="D46" s="45" t="str">
        <f t="shared" si="2"/>
        <v/>
      </c>
      <c r="E46" s="323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24"/>
      <c r="B47" s="45" t="str">
        <f t="shared" si="1"/>
        <v/>
      </c>
      <c r="C47" s="326"/>
      <c r="D47" s="45" t="str">
        <f t="shared" si="2"/>
        <v/>
      </c>
      <c r="E47" s="323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24"/>
      <c r="B48" s="45" t="str">
        <f t="shared" si="1"/>
        <v/>
      </c>
      <c r="C48" s="326"/>
      <c r="D48" s="45" t="str">
        <f t="shared" si="2"/>
        <v/>
      </c>
      <c r="E48" s="323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24"/>
      <c r="B49" s="45" t="str">
        <f t="shared" si="1"/>
        <v/>
      </c>
      <c r="C49" s="326"/>
      <c r="D49" s="45" t="str">
        <f t="shared" si="2"/>
        <v/>
      </c>
      <c r="E49" s="323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24"/>
      <c r="B50" s="45" t="str">
        <f t="shared" si="1"/>
        <v/>
      </c>
      <c r="C50" s="326"/>
      <c r="D50" s="45" t="str">
        <f t="shared" si="2"/>
        <v/>
      </c>
      <c r="E50" s="323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24"/>
      <c r="B51" s="45" t="str">
        <f t="shared" si="1"/>
        <v/>
      </c>
      <c r="C51" s="326"/>
      <c r="D51" s="45" t="str">
        <f t="shared" si="2"/>
        <v/>
      </c>
      <c r="E51" s="323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24"/>
      <c r="B52" s="45" t="str">
        <f t="shared" si="1"/>
        <v/>
      </c>
      <c r="C52" s="326"/>
      <c r="D52" s="45" t="str">
        <f t="shared" si="2"/>
        <v/>
      </c>
      <c r="E52" s="323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24"/>
      <c r="B53" s="45" t="str">
        <f t="shared" si="1"/>
        <v/>
      </c>
      <c r="C53" s="326"/>
      <c r="D53" s="45" t="str">
        <f t="shared" si="2"/>
        <v/>
      </c>
      <c r="E53" s="323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24"/>
      <c r="B54" s="45" t="str">
        <f t="shared" si="1"/>
        <v/>
      </c>
      <c r="C54" s="326"/>
      <c r="D54" s="45" t="str">
        <f t="shared" si="2"/>
        <v/>
      </c>
      <c r="E54" s="323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24"/>
      <c r="B55" s="45" t="str">
        <f t="shared" si="1"/>
        <v/>
      </c>
      <c r="C55" s="326"/>
      <c r="D55" s="45" t="str">
        <f t="shared" si="2"/>
        <v/>
      </c>
      <c r="E55" s="323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24"/>
      <c r="B56" s="45" t="str">
        <f t="shared" si="1"/>
        <v/>
      </c>
      <c r="C56" s="326"/>
      <c r="D56" s="45" t="str">
        <f t="shared" si="2"/>
        <v/>
      </c>
      <c r="E56" s="323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24"/>
      <c r="B57" s="45" t="str">
        <f t="shared" si="1"/>
        <v/>
      </c>
      <c r="C57" s="326"/>
      <c r="D57" s="45" t="str">
        <f t="shared" si="2"/>
        <v/>
      </c>
      <c r="E57" s="323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24"/>
      <c r="B58" s="45" t="str">
        <f t="shared" si="1"/>
        <v/>
      </c>
      <c r="C58" s="326"/>
      <c r="D58" s="45" t="str">
        <f t="shared" si="2"/>
        <v/>
      </c>
      <c r="E58" s="323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24"/>
      <c r="B59" s="45" t="str">
        <f t="shared" si="1"/>
        <v/>
      </c>
      <c r="C59" s="326"/>
      <c r="D59" s="45" t="str">
        <f t="shared" si="2"/>
        <v/>
      </c>
      <c r="E59" s="323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24"/>
      <c r="B60" s="45" t="str">
        <f t="shared" si="1"/>
        <v/>
      </c>
      <c r="C60" s="326"/>
      <c r="D60" s="45" t="str">
        <f t="shared" si="2"/>
        <v/>
      </c>
      <c r="E60" s="323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24"/>
      <c r="B61" s="45" t="str">
        <f t="shared" si="1"/>
        <v/>
      </c>
      <c r="C61" s="326"/>
      <c r="D61" s="45" t="str">
        <f t="shared" si="2"/>
        <v/>
      </c>
      <c r="E61" s="323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24"/>
      <c r="B62" s="45" t="str">
        <f t="shared" si="1"/>
        <v/>
      </c>
      <c r="C62" s="326"/>
      <c r="D62" s="45" t="str">
        <f t="shared" si="2"/>
        <v/>
      </c>
      <c r="E62" s="323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24"/>
      <c r="B63" s="45" t="str">
        <f t="shared" si="1"/>
        <v/>
      </c>
      <c r="C63" s="326"/>
      <c r="D63" s="45" t="str">
        <f t="shared" si="2"/>
        <v/>
      </c>
      <c r="E63" s="323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24"/>
      <c r="B64" s="45" t="str">
        <f t="shared" si="1"/>
        <v/>
      </c>
      <c r="C64" s="326"/>
      <c r="D64" s="45" t="str">
        <f t="shared" si="2"/>
        <v/>
      </c>
      <c r="E64" s="323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24"/>
      <c r="B65" s="45" t="str">
        <f t="shared" si="1"/>
        <v/>
      </c>
      <c r="C65" s="326"/>
      <c r="D65" s="45" t="str">
        <f t="shared" si="2"/>
        <v/>
      </c>
      <c r="E65" s="323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24"/>
      <c r="B66" s="45" t="str">
        <f t="shared" si="1"/>
        <v/>
      </c>
      <c r="C66" s="326"/>
      <c r="D66" s="45" t="str">
        <f t="shared" si="2"/>
        <v/>
      </c>
      <c r="E66" s="323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24"/>
      <c r="B67" s="45" t="str">
        <f t="shared" si="1"/>
        <v/>
      </c>
      <c r="C67" s="326"/>
      <c r="D67" s="45" t="str">
        <f t="shared" si="2"/>
        <v/>
      </c>
      <c r="E67" s="323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24"/>
      <c r="B68" s="45" t="str">
        <f t="shared" ref="B68:B131" si="12">IFERROR(VLOOKUP(A68,$V$6:$W$23,2,FALSE),"")</f>
        <v/>
      </c>
      <c r="C68" s="326"/>
      <c r="D68" s="45" t="str">
        <f t="shared" ref="D68:D131" si="13">IFERROR(VLOOKUP(C68,$Y$5:$AA$129,2,FALSE),"")</f>
        <v/>
      </c>
      <c r="E68" s="323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24"/>
      <c r="B69" s="45" t="str">
        <f t="shared" si="12"/>
        <v/>
      </c>
      <c r="C69" s="326"/>
      <c r="D69" s="45" t="str">
        <f t="shared" si="13"/>
        <v/>
      </c>
      <c r="E69" s="323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24"/>
      <c r="B70" s="45" t="str">
        <f t="shared" si="12"/>
        <v/>
      </c>
      <c r="C70" s="326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24"/>
      <c r="B71" s="45" t="str">
        <f t="shared" si="12"/>
        <v/>
      </c>
      <c r="C71" s="326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24"/>
      <c r="B72" s="45" t="str">
        <f t="shared" si="12"/>
        <v/>
      </c>
      <c r="C72" s="326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24"/>
      <c r="B73" s="45" t="str">
        <f t="shared" si="12"/>
        <v/>
      </c>
      <c r="C73" s="326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24"/>
      <c r="B74" s="45" t="str">
        <f t="shared" si="12"/>
        <v/>
      </c>
      <c r="C74" s="326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24"/>
      <c r="B75" s="45" t="str">
        <f t="shared" si="12"/>
        <v/>
      </c>
      <c r="C75" s="326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24"/>
      <c r="B76" s="45" t="str">
        <f t="shared" si="12"/>
        <v/>
      </c>
      <c r="C76" s="326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24"/>
      <c r="B77" s="45" t="str">
        <f t="shared" si="12"/>
        <v/>
      </c>
      <c r="C77" s="326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24"/>
      <c r="B78" s="45" t="str">
        <f t="shared" si="12"/>
        <v/>
      </c>
      <c r="C78" s="326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24"/>
      <c r="B79" s="45" t="str">
        <f t="shared" si="12"/>
        <v/>
      </c>
      <c r="C79" s="326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24"/>
      <c r="B80" s="45" t="str">
        <f t="shared" si="12"/>
        <v/>
      </c>
      <c r="C80" s="326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24"/>
      <c r="B81" s="45" t="str">
        <f t="shared" si="12"/>
        <v/>
      </c>
      <c r="C81" s="326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24"/>
      <c r="B82" s="45" t="str">
        <f t="shared" si="12"/>
        <v/>
      </c>
      <c r="C82" s="326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24"/>
      <c r="B83" s="45" t="str">
        <f t="shared" si="12"/>
        <v/>
      </c>
      <c r="C83" s="326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24"/>
      <c r="B84" s="45" t="str">
        <f t="shared" si="12"/>
        <v/>
      </c>
      <c r="C84" s="326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24"/>
      <c r="B85" s="45" t="str">
        <f t="shared" si="12"/>
        <v/>
      </c>
      <c r="C85" s="326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24"/>
      <c r="B86" s="45" t="str">
        <f t="shared" si="12"/>
        <v/>
      </c>
      <c r="C86" s="326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24"/>
      <c r="B87" s="45" t="str">
        <f t="shared" si="12"/>
        <v/>
      </c>
      <c r="C87" s="326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24"/>
      <c r="B88" s="45" t="str">
        <f t="shared" si="12"/>
        <v/>
      </c>
      <c r="C88" s="326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24"/>
      <c r="B89" s="45" t="str">
        <f t="shared" si="12"/>
        <v/>
      </c>
      <c r="C89" s="326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24"/>
      <c r="B90" s="45" t="str">
        <f t="shared" si="12"/>
        <v/>
      </c>
      <c r="C90" s="326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24"/>
      <c r="B91" s="45" t="str">
        <f t="shared" si="12"/>
        <v/>
      </c>
      <c r="C91" s="326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24"/>
      <c r="B92" s="45" t="str">
        <f t="shared" si="12"/>
        <v/>
      </c>
      <c r="C92" s="326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24"/>
      <c r="B93" s="45" t="str">
        <f t="shared" si="12"/>
        <v/>
      </c>
      <c r="C93" s="326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24"/>
      <c r="B94" s="45" t="str">
        <f t="shared" si="12"/>
        <v/>
      </c>
      <c r="C94" s="326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24"/>
      <c r="B95" s="45" t="str">
        <f t="shared" si="12"/>
        <v/>
      </c>
      <c r="C95" s="326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24"/>
      <c r="B96" s="45" t="str">
        <f t="shared" si="12"/>
        <v/>
      </c>
      <c r="C96" s="326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24"/>
      <c r="B97" s="45" t="str">
        <f t="shared" si="12"/>
        <v/>
      </c>
      <c r="C97" s="326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24"/>
      <c r="B98" s="45" t="str">
        <f t="shared" si="12"/>
        <v/>
      </c>
      <c r="C98" s="326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24"/>
      <c r="B99" s="45" t="str">
        <f t="shared" si="12"/>
        <v/>
      </c>
      <c r="C99" s="326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24"/>
      <c r="B100" s="45" t="str">
        <f t="shared" si="12"/>
        <v/>
      </c>
      <c r="C100" s="326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24"/>
      <c r="B101" s="45" t="str">
        <f t="shared" si="12"/>
        <v/>
      </c>
      <c r="C101" s="326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24"/>
      <c r="B102" s="45" t="str">
        <f t="shared" si="12"/>
        <v/>
      </c>
      <c r="C102" s="326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24"/>
      <c r="B103" s="45" t="str">
        <f t="shared" si="12"/>
        <v/>
      </c>
      <c r="C103" s="326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24"/>
      <c r="B104" s="45" t="str">
        <f t="shared" si="12"/>
        <v/>
      </c>
      <c r="C104" s="326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24"/>
      <c r="B105" s="45" t="str">
        <f t="shared" si="12"/>
        <v/>
      </c>
      <c r="C105" s="326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24"/>
      <c r="B106" s="45" t="str">
        <f t="shared" si="12"/>
        <v/>
      </c>
      <c r="C106" s="326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24"/>
      <c r="B107" s="45" t="str">
        <f t="shared" si="12"/>
        <v/>
      </c>
      <c r="C107" s="326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24"/>
      <c r="B108" s="45" t="str">
        <f t="shared" si="12"/>
        <v/>
      </c>
      <c r="C108" s="326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24"/>
      <c r="B109" s="45" t="str">
        <f t="shared" si="12"/>
        <v/>
      </c>
      <c r="C109" s="326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24"/>
      <c r="B110" s="45" t="str">
        <f t="shared" si="12"/>
        <v/>
      </c>
      <c r="C110" s="326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24"/>
      <c r="B111" s="45" t="str">
        <f t="shared" si="12"/>
        <v/>
      </c>
      <c r="C111" s="326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24"/>
      <c r="B112" s="45" t="str">
        <f t="shared" si="12"/>
        <v/>
      </c>
      <c r="C112" s="326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24"/>
      <c r="B113" s="45" t="str">
        <f t="shared" si="12"/>
        <v/>
      </c>
      <c r="C113" s="326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24"/>
      <c r="B114" s="45" t="str">
        <f t="shared" si="12"/>
        <v/>
      </c>
      <c r="C114" s="326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24"/>
      <c r="B115" s="45" t="str">
        <f t="shared" si="12"/>
        <v/>
      </c>
      <c r="C115" s="326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24"/>
      <c r="B116" s="45" t="str">
        <f t="shared" si="12"/>
        <v/>
      </c>
      <c r="C116" s="326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24"/>
      <c r="B117" s="45" t="str">
        <f t="shared" si="12"/>
        <v/>
      </c>
      <c r="C117" s="326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24"/>
      <c r="B118" s="45" t="str">
        <f t="shared" si="12"/>
        <v/>
      </c>
      <c r="C118" s="326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24"/>
      <c r="B119" s="45" t="str">
        <f t="shared" si="12"/>
        <v/>
      </c>
      <c r="C119" s="326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24"/>
      <c r="B120" s="45" t="str">
        <f t="shared" si="12"/>
        <v/>
      </c>
      <c r="C120" s="326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24"/>
      <c r="B121" s="45" t="str">
        <f t="shared" si="12"/>
        <v/>
      </c>
      <c r="C121" s="326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24"/>
      <c r="B122" s="45" t="str">
        <f t="shared" si="12"/>
        <v/>
      </c>
      <c r="C122" s="326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24"/>
      <c r="B123" s="45" t="str">
        <f t="shared" si="12"/>
        <v/>
      </c>
      <c r="C123" s="326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24"/>
      <c r="B124" s="45" t="str">
        <f t="shared" si="12"/>
        <v/>
      </c>
      <c r="C124" s="326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24"/>
      <c r="B125" s="45" t="str">
        <f t="shared" si="12"/>
        <v/>
      </c>
      <c r="C125" s="326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24"/>
      <c r="B126" s="45" t="str">
        <f t="shared" si="12"/>
        <v/>
      </c>
      <c r="C126" s="326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24"/>
      <c r="B127" s="45" t="str">
        <f t="shared" si="12"/>
        <v/>
      </c>
      <c r="C127" s="326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24"/>
      <c r="B128" s="45" t="str">
        <f t="shared" si="12"/>
        <v/>
      </c>
      <c r="C128" s="326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24"/>
      <c r="B129" s="45" t="str">
        <f t="shared" si="12"/>
        <v/>
      </c>
      <c r="C129" s="326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24"/>
      <c r="B130" s="45" t="str">
        <f t="shared" si="12"/>
        <v/>
      </c>
      <c r="C130" s="326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24"/>
      <c r="B131" s="45" t="str">
        <f t="shared" si="12"/>
        <v/>
      </c>
      <c r="C131" s="326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24"/>
      <c r="B132" s="45" t="str">
        <f t="shared" ref="B132:B195" si="23">IFERROR(VLOOKUP(A132,$V$6:$W$23,2,FALSE),"")</f>
        <v/>
      </c>
      <c r="C132" s="326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24"/>
      <c r="B133" s="45" t="str">
        <f t="shared" si="23"/>
        <v/>
      </c>
      <c r="C133" s="326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24"/>
      <c r="B134" s="45" t="str">
        <f t="shared" si="23"/>
        <v/>
      </c>
      <c r="C134" s="326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24"/>
      <c r="B135" s="45" t="str">
        <f t="shared" si="23"/>
        <v/>
      </c>
      <c r="C135" s="326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26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26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26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26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26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26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26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26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26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26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26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26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26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26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26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26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26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26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26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26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26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26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26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26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26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26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27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27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25"/>
      <c r="B164" s="45" t="str">
        <f t="shared" si="23"/>
        <v/>
      </c>
      <c r="C164" s="327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25"/>
      <c r="B165" s="45" t="str">
        <f t="shared" si="23"/>
        <v/>
      </c>
      <c r="C165" s="327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25"/>
      <c r="B166" s="45" t="str">
        <f t="shared" si="23"/>
        <v/>
      </c>
      <c r="C166" s="327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25"/>
      <c r="B167" s="45" t="str">
        <f t="shared" si="23"/>
        <v/>
      </c>
      <c r="C167" s="327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25"/>
      <c r="B168" s="45" t="str">
        <f t="shared" si="23"/>
        <v/>
      </c>
      <c r="C168" s="327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25"/>
      <c r="B169" s="45" t="str">
        <f t="shared" si="23"/>
        <v/>
      </c>
      <c r="C169" s="327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25"/>
      <c r="B170" s="45" t="str">
        <f t="shared" si="23"/>
        <v/>
      </c>
      <c r="C170" s="327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25"/>
      <c r="B171" s="45" t="str">
        <f t="shared" si="23"/>
        <v/>
      </c>
      <c r="C171" s="327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25"/>
      <c r="B172" s="45" t="str">
        <f t="shared" si="23"/>
        <v/>
      </c>
      <c r="C172" s="327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25"/>
      <c r="B173" s="45" t="str">
        <f t="shared" si="23"/>
        <v/>
      </c>
      <c r="C173" s="327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25"/>
      <c r="B174" s="45" t="str">
        <f t="shared" si="23"/>
        <v/>
      </c>
      <c r="C174" s="327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25"/>
      <c r="B175" s="45" t="str">
        <f t="shared" si="23"/>
        <v/>
      </c>
      <c r="C175" s="327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topLeftCell="D1" zoomScale="85" zoomScaleNormal="85" workbookViewId="0">
      <selection activeCell="F15" sqref="F1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9" ht="21" customHeight="1">
      <c r="B2" s="392" t="s">
        <v>4035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9" s="19" customFormat="1" ht="15">
      <c r="B3" s="18"/>
      <c r="C3" s="18"/>
      <c r="D3" s="18"/>
      <c r="G3" s="349"/>
      <c r="I3" s="349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1385357</v>
      </c>
      <c r="E5" s="328"/>
      <c r="F5" s="328"/>
      <c r="G5" s="329">
        <f>184519+40226</f>
        <v>224745</v>
      </c>
      <c r="H5" s="328"/>
      <c r="I5" s="328">
        <f>35000+32000+70057</f>
        <v>137057</v>
      </c>
      <c r="J5" s="328">
        <v>23555</v>
      </c>
      <c r="K5" s="328">
        <v>1000000</v>
      </c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23" t="str">
        <f>'OPĆI DIO'!$C$1</f>
        <v>2452 SVEUČILIŠTE J. J. STROSSMAYERA U OSIJEKU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11634272</v>
      </c>
      <c r="E6" s="6">
        <f>'A.2 PRIHODI I RASHODI IF'!E7</f>
        <v>8132851</v>
      </c>
      <c r="F6" s="6">
        <f>'A.2 PRIHODI I RASHODI IF'!E8</f>
        <v>258823</v>
      </c>
      <c r="G6" s="6">
        <f>'A.2 PRIHODI I RASHODI IF'!E10</f>
        <v>276420</v>
      </c>
      <c r="H6" s="6">
        <f>'A.2 PRIHODI I RASHODI IF'!E12</f>
        <v>0</v>
      </c>
      <c r="I6" s="6">
        <f>'A.2 PRIHODI I RASHODI IF'!E13+'B.2 RAČUN FINANC IF'!E7</f>
        <v>1066000</v>
      </c>
      <c r="J6" s="6">
        <f>'A.2 PRIHODI I RASHODI IF'!E15</f>
        <v>15000</v>
      </c>
      <c r="K6" s="6">
        <f>'A.2 PRIHODI I RASHODI IF'!E16</f>
        <v>418512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1466666</v>
      </c>
      <c r="P6" s="6">
        <f>'A.2 PRIHODI I RASHODI IF'!E21</f>
        <v>0</v>
      </c>
      <c r="Q6" s="6">
        <f>'A.2 PRIHODI I RASHODI IF'!E22</f>
        <v>0</v>
      </c>
      <c r="R6" s="352">
        <f>'A.2 PRIHODI I RASHODI IF'!E23</f>
        <v>0</v>
      </c>
      <c r="S6" s="6">
        <f>'A.2 PRIHODI I RASHODI IF'!E24</f>
        <v>0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2452 SVEUČILIŠTE J. J. STROSSMAYERA U OSIJEKU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-2125357</v>
      </c>
      <c r="E7" s="330"/>
      <c r="F7" s="330">
        <v>-147975</v>
      </c>
      <c r="G7" s="330">
        <f>-141919-46676</f>
        <v>-188595</v>
      </c>
      <c r="H7" s="330"/>
      <c r="I7" s="330">
        <f>-356000-33000-71587</f>
        <v>-460587</v>
      </c>
      <c r="J7" s="330">
        <v>-18555</v>
      </c>
      <c r="K7" s="330">
        <v>-756222</v>
      </c>
      <c r="L7" s="330"/>
      <c r="M7" s="330"/>
      <c r="N7" s="330"/>
      <c r="O7" s="330">
        <v>-553423</v>
      </c>
      <c r="P7" s="330"/>
      <c r="Q7" s="330"/>
      <c r="R7" s="330"/>
      <c r="S7" s="330"/>
      <c r="T7" s="330"/>
      <c r="U7" s="330"/>
      <c r="V7" s="330"/>
      <c r="W7" s="330"/>
      <c r="X7" s="23" t="str">
        <f>'OPĆI DIO'!$C$1</f>
        <v>2452 SVEUČILIŠTE J. J. STROSSMAYERA U OSIJEKU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10894272</v>
      </c>
      <c r="E8" s="6">
        <f>+E5+E6+E7</f>
        <v>8132851</v>
      </c>
      <c r="F8" s="6">
        <f t="shared" ref="F8:W8" si="1">+F5+F6+F7</f>
        <v>110848</v>
      </c>
      <c r="G8" s="6">
        <f t="shared" si="1"/>
        <v>312570</v>
      </c>
      <c r="H8" s="6">
        <f t="shared" si="1"/>
        <v>0</v>
      </c>
      <c r="I8" s="6">
        <f t="shared" si="1"/>
        <v>742470</v>
      </c>
      <c r="J8" s="6">
        <f t="shared" si="1"/>
        <v>20000</v>
      </c>
      <c r="K8" s="6">
        <f t="shared" si="1"/>
        <v>662290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913243</v>
      </c>
      <c r="P8" s="6">
        <f t="shared" si="1"/>
        <v>0</v>
      </c>
      <c r="Q8" s="6">
        <f t="shared" si="1"/>
        <v>0</v>
      </c>
      <c r="R8" s="352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2452 SVEUČILIŠTE J. J. STROSSMAYERA U OSIJEKU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10894272</v>
      </c>
      <c r="E9" s="6">
        <f>'A.2 PRIHODI I RASHODI IF'!E32</f>
        <v>8132851</v>
      </c>
      <c r="F9" s="6">
        <f>'A.2 PRIHODI I RASHODI IF'!E33</f>
        <v>110848</v>
      </c>
      <c r="G9" s="6">
        <f>'A.2 PRIHODI I RASHODI IF'!E35+'B.2 RAČUN FINANC IF'!E14</f>
        <v>312570</v>
      </c>
      <c r="H9" s="6">
        <f>'A.2 PRIHODI I RASHODI IF'!E37</f>
        <v>0</v>
      </c>
      <c r="I9" s="6">
        <f>'A.2 PRIHODI I RASHODI IF'!E38</f>
        <v>1029270</v>
      </c>
      <c r="J9" s="6">
        <f>'A.2 PRIHODI I RASHODI IF'!E40</f>
        <v>20000</v>
      </c>
      <c r="K9" s="6">
        <f>'A.2 PRIHODI I RASHODI IF'!E41</f>
        <v>660593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628140</v>
      </c>
      <c r="P9" s="6">
        <f>'A.2 PRIHODI I RASHODI IF'!E46</f>
        <v>0</v>
      </c>
      <c r="Q9" s="6">
        <f>'A.2 PRIHODI I RASHODI IF'!E47</f>
        <v>0</v>
      </c>
      <c r="R9" s="352">
        <f>'A.2 PRIHODI I RASHODI IF'!E48</f>
        <v>0</v>
      </c>
      <c r="S9" s="6">
        <f>'A.2 PRIHODI I RASHODI IF'!E49</f>
        <v>0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2452 SVEUČILIŠTE J. J. STROSSMAYERA U OSIJEKU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-286800</v>
      </c>
      <c r="J10" s="37">
        <f>+J8-J9</f>
        <v>0</v>
      </c>
      <c r="K10" s="37">
        <f t="shared" si="2"/>
        <v>1697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285103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2452 SVEUČILIŠTE J. J. STROSSMAYERA U OSIJEKU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2452 SVEUČILIŠTE J. J. STROSSMAYERA U OSIJEKU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2452 SVEUČILIŠTE J. J. STROSSMAYERA U OSIJEKU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2125357</v>
      </c>
      <c r="E13" s="84">
        <f t="shared" ref="E13:W13" si="4">-E7</f>
        <v>0</v>
      </c>
      <c r="F13" s="84">
        <f t="shared" si="4"/>
        <v>147975</v>
      </c>
      <c r="G13" s="84">
        <f t="shared" si="4"/>
        <v>188595</v>
      </c>
      <c r="H13" s="84">
        <f t="shared" si="4"/>
        <v>0</v>
      </c>
      <c r="I13" s="84">
        <f t="shared" si="4"/>
        <v>460587</v>
      </c>
      <c r="J13" s="84">
        <f t="shared" si="4"/>
        <v>18555</v>
      </c>
      <c r="K13" s="84">
        <f t="shared" si="4"/>
        <v>756222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553423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2452 SVEUČILIŠTE J. J. STROSSMAYERA U OSIJEKU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9570655</v>
      </c>
      <c r="E14" s="6">
        <f>'A.2 PRIHODI I RASHODI IF'!F7</f>
        <v>8163799</v>
      </c>
      <c r="F14" s="6">
        <f>'A.2 PRIHODI I RASHODI IF'!F8</f>
        <v>0</v>
      </c>
      <c r="G14" s="6">
        <f>'A.2 PRIHODI I RASHODI IF'!F10</f>
        <v>266396</v>
      </c>
      <c r="H14" s="6">
        <f>'A.2 PRIHODI I RASHODI IF'!F12</f>
        <v>0</v>
      </c>
      <c r="I14" s="6">
        <f>'A.2 PRIHODI I RASHODI IF'!F13+'B.2 RAČUN FINANC IF'!F7</f>
        <v>823550</v>
      </c>
      <c r="J14" s="6">
        <f>'A.2 PRIHODI I RASHODI IF'!F15</f>
        <v>15000</v>
      </c>
      <c r="K14" s="6">
        <f>'A.2 PRIHODI I RASHODI IF'!F16</f>
        <v>301910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2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2452 SVEUČILIŠTE J. J. STROSSMAYERA U OSIJEKU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-1888342</v>
      </c>
      <c r="E15" s="331"/>
      <c r="F15" s="331">
        <v>-147975</v>
      </c>
      <c r="G15" s="331">
        <f>-104649-66896</f>
        <v>-171545</v>
      </c>
      <c r="H15" s="331"/>
      <c r="I15" s="331">
        <f>-245200-34275-76237</f>
        <v>-355712</v>
      </c>
      <c r="J15" s="331">
        <v>-13555</v>
      </c>
      <c r="K15" s="331">
        <v>-646132</v>
      </c>
      <c r="L15" s="331"/>
      <c r="M15" s="328"/>
      <c r="N15" s="331"/>
      <c r="O15" s="331">
        <v>-553423</v>
      </c>
      <c r="P15" s="331"/>
      <c r="Q15" s="331"/>
      <c r="R15" s="331"/>
      <c r="S15" s="331"/>
      <c r="T15" s="331"/>
      <c r="U15" s="331"/>
      <c r="V15" s="331"/>
      <c r="W15" s="331"/>
      <c r="X15" s="23" t="str">
        <f>'OPĆI DIO'!$C$1</f>
        <v>2452 SVEUČILIŠTE J. J. STROSSMAYERA U OSIJEKU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9807670</v>
      </c>
      <c r="E16" s="6">
        <f>+E13+E14+E15</f>
        <v>8163799</v>
      </c>
      <c r="F16" s="6">
        <f t="shared" ref="F16:W16" si="5">+F13+F14+F15</f>
        <v>0</v>
      </c>
      <c r="G16" s="6">
        <f t="shared" si="5"/>
        <v>283446</v>
      </c>
      <c r="H16" s="6">
        <f t="shared" si="5"/>
        <v>0</v>
      </c>
      <c r="I16" s="6">
        <f t="shared" si="5"/>
        <v>928425</v>
      </c>
      <c r="J16" s="6">
        <f t="shared" si="5"/>
        <v>20000</v>
      </c>
      <c r="K16" s="6">
        <f t="shared" si="5"/>
        <v>412000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2452 SVEUČILIŠTE J. J. STROSSMAYERA U OSIJEKU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9807670</v>
      </c>
      <c r="E17" s="6">
        <f>'A.2 PRIHODI I RASHODI IF'!F32</f>
        <v>8163799</v>
      </c>
      <c r="F17" s="6">
        <f>'A.2 PRIHODI I RASHODI IF'!F33</f>
        <v>0</v>
      </c>
      <c r="G17" s="6">
        <f>'A.2 PRIHODI I RASHODI IF'!F35+'B.2 RAČUN FINANC IF'!F14</f>
        <v>283446</v>
      </c>
      <c r="H17" s="6">
        <f>'A.2 PRIHODI I RASHODI IF'!F37</f>
        <v>0</v>
      </c>
      <c r="I17" s="6">
        <f>'A.2 PRIHODI I RASHODI IF'!F38</f>
        <v>928425</v>
      </c>
      <c r="J17" s="6">
        <f>'A.2 PRIHODI I RASHODI IF'!F40</f>
        <v>20000</v>
      </c>
      <c r="K17" s="6">
        <f>'A.2 PRIHODI I RASHODI IF'!F41</f>
        <v>412000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2452 SVEUČILIŠTE J. J. STROSSMAYERA U OSIJEKU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2452 SVEUČILIŠTE J. J. STROSSMAYERA U OSIJEKU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2452 SVEUČILIŠTE J. J. STROSSMAYERA U OSIJEKU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2452 SVEUČILIŠTE J. J. STROSSMAYERA U OSIJEKU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1888342</v>
      </c>
      <c r="E21" s="84">
        <f t="shared" ref="E21:W21" si="8">-E15</f>
        <v>0</v>
      </c>
      <c r="F21" s="84">
        <f t="shared" si="8"/>
        <v>147975</v>
      </c>
      <c r="G21" s="84">
        <f t="shared" si="8"/>
        <v>171545</v>
      </c>
      <c r="H21" s="84">
        <f t="shared" si="8"/>
        <v>0</v>
      </c>
      <c r="I21" s="84">
        <f t="shared" si="8"/>
        <v>355712</v>
      </c>
      <c r="J21" s="84">
        <f t="shared" si="8"/>
        <v>13555</v>
      </c>
      <c r="K21" s="84">
        <f t="shared" si="8"/>
        <v>646132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553423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2452 SVEUČILIŠTE J. J. STROSSMAYERA U OSIJEKU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9250498</v>
      </c>
      <c r="E22" s="6">
        <f>'A.2 PRIHODI I RASHODI IF'!G7</f>
        <v>8190417</v>
      </c>
      <c r="F22" s="6">
        <f>'A.2 PRIHODI I RASHODI IF'!G8</f>
        <v>0</v>
      </c>
      <c r="G22" s="6">
        <f>'A.2 PRIHODI I RASHODI IF'!G10</f>
        <v>266380</v>
      </c>
      <c r="H22" s="6">
        <f>'A.2 PRIHODI I RASHODI IF'!G12</f>
        <v>0</v>
      </c>
      <c r="I22" s="6">
        <f>'A.2 PRIHODI I RASHODI IF'!G13+'B.2 RAČUN FINANC IF'!G7</f>
        <v>751100</v>
      </c>
      <c r="J22" s="6">
        <f>'A.2 PRIHODI I RASHODI IF'!G15</f>
        <v>6445</v>
      </c>
      <c r="K22" s="6">
        <f>'A.2 PRIHODI I RASHODI IF'!G16</f>
        <v>36156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2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2452 SVEUČILIŠTE J. J. STROSSMAYERA U OSIJEKU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-1636244</v>
      </c>
      <c r="E23" s="331"/>
      <c r="F23" s="331">
        <v>-147975</v>
      </c>
      <c r="G23" s="331">
        <f>-72999-82476</f>
        <v>-155475</v>
      </c>
      <c r="H23" s="331"/>
      <c r="I23" s="331">
        <f>-158560-35936-81487</f>
        <v>-275983</v>
      </c>
      <c r="J23" s="331"/>
      <c r="K23" s="331">
        <v>-503388</v>
      </c>
      <c r="L23" s="331"/>
      <c r="M23" s="328"/>
      <c r="N23" s="331"/>
      <c r="O23" s="331">
        <v>-553423</v>
      </c>
      <c r="P23" s="331"/>
      <c r="Q23" s="331"/>
      <c r="R23" s="331"/>
      <c r="S23" s="331"/>
      <c r="T23" s="331"/>
      <c r="U23" s="331"/>
      <c r="V23" s="331"/>
      <c r="W23" s="331"/>
      <c r="X23" s="23" t="str">
        <f>'OPĆI DIO'!$C$1</f>
        <v>2452 SVEUČILIŠTE J. J. STROSSMAYERA U OSIJEKU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9502596</v>
      </c>
      <c r="E24" s="6">
        <f>+E21+E22+E23</f>
        <v>8190417</v>
      </c>
      <c r="F24" s="6">
        <f t="shared" ref="F24:W24" si="9">+F21+F22+F23</f>
        <v>0</v>
      </c>
      <c r="G24" s="6">
        <f t="shared" si="9"/>
        <v>282450</v>
      </c>
      <c r="H24" s="6">
        <f t="shared" si="9"/>
        <v>0</v>
      </c>
      <c r="I24" s="6">
        <f t="shared" si="9"/>
        <v>830829</v>
      </c>
      <c r="J24" s="6">
        <f t="shared" si="9"/>
        <v>20000</v>
      </c>
      <c r="K24" s="6">
        <f t="shared" si="9"/>
        <v>178900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2452 SVEUČILIŠTE J. J. STROSSMAYERA U OSIJEKU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9502596</v>
      </c>
      <c r="E25" s="6">
        <f>'A.2 PRIHODI I RASHODI IF'!G32</f>
        <v>8190417</v>
      </c>
      <c r="F25" s="6">
        <f>'A.2 PRIHODI I RASHODI IF'!G33</f>
        <v>0</v>
      </c>
      <c r="G25" s="6">
        <f>'A.2 PRIHODI I RASHODI IF'!G35+'B.2 RAČUN FINANC IF'!G14</f>
        <v>282450</v>
      </c>
      <c r="H25" s="6">
        <f>'A.2 PRIHODI I RASHODI IF'!G37</f>
        <v>0</v>
      </c>
      <c r="I25" s="6">
        <f>'A.2 PRIHODI I RASHODI IF'!G38</f>
        <v>830829</v>
      </c>
      <c r="J25" s="6">
        <f>'A.2 PRIHODI I RASHODI IF'!G40</f>
        <v>20000</v>
      </c>
      <c r="K25" s="6">
        <f>'A.2 PRIHODI I RASHODI IF'!G41</f>
        <v>178900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2452 SVEUČILIŠTE J. J. STROSSMAYERA U OSIJEKU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2452 SVEUČILIŠTE J. J. STROSSMAYERA U OSIJEKU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zoomScale="90" zoomScaleNormal="90" workbookViewId="0">
      <selection activeCell="D18" sqref="D18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6" t="s">
        <v>3883</v>
      </c>
      <c r="B2" s="396"/>
      <c r="C2" s="396"/>
      <c r="D2" s="396"/>
      <c r="E2" s="396"/>
      <c r="F2" s="396"/>
      <c r="G2" s="396"/>
      <c r="H2" s="396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6" t="s">
        <v>3884</v>
      </c>
      <c r="B4" s="396"/>
      <c r="C4" s="396"/>
      <c r="D4" s="396"/>
      <c r="E4" s="396"/>
      <c r="F4" s="396"/>
      <c r="G4" s="396"/>
      <c r="H4" s="396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6" t="s">
        <v>4777</v>
      </c>
      <c r="B6" s="396"/>
      <c r="C6" s="396"/>
      <c r="D6" s="396"/>
      <c r="E6" s="396"/>
      <c r="F6" s="396"/>
      <c r="G6" s="396"/>
      <c r="H6" s="396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7" t="s">
        <v>4778</v>
      </c>
      <c r="B8" s="398"/>
      <c r="C8" s="399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3">
        <v>1</v>
      </c>
      <c r="B9" s="394"/>
      <c r="C9" s="395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13113157</v>
      </c>
      <c r="E10" s="317">
        <f t="shared" ref="E10:H10" si="0">+E11+E19</f>
        <v>13622032</v>
      </c>
      <c r="F10" s="317">
        <f t="shared" si="0"/>
        <v>11484272</v>
      </c>
      <c r="G10" s="317">
        <f t="shared" si="0"/>
        <v>9570655</v>
      </c>
      <c r="H10" s="317">
        <f t="shared" si="0"/>
        <v>9250498</v>
      </c>
      <c r="I10" s="315" t="str">
        <f>'OPĆI DIO'!$C$1</f>
        <v>2452 SVEUČILIŠTE J. J. STROSSMAYERA U OSIJEKU</v>
      </c>
    </row>
    <row r="11" spans="1:10">
      <c r="A11" s="277">
        <v>6</v>
      </c>
      <c r="B11" s="277"/>
      <c r="C11" s="277" t="s">
        <v>4782</v>
      </c>
      <c r="D11" s="309">
        <f>SUM(D12:D18)</f>
        <v>13113157</v>
      </c>
      <c r="E11" s="309">
        <f t="shared" ref="E11:H11" si="1">SUM(E12:E18)</f>
        <v>13622032</v>
      </c>
      <c r="F11" s="309">
        <f t="shared" si="1"/>
        <v>11484272</v>
      </c>
      <c r="G11" s="309">
        <f t="shared" si="1"/>
        <v>9570655</v>
      </c>
      <c r="H11" s="309">
        <f t="shared" si="1"/>
        <v>9250498</v>
      </c>
      <c r="I11" s="315" t="str">
        <f>'OPĆI DIO'!$C$1</f>
        <v>2452 SVEUČILIŠTE J. J. STROSSMAYERA U OSIJEKU</v>
      </c>
    </row>
    <row r="12" spans="1:10">
      <c r="A12" s="277"/>
      <c r="B12" s="278" t="s">
        <v>3887</v>
      </c>
      <c r="C12" s="278" t="s">
        <v>3886</v>
      </c>
      <c r="D12" s="343">
        <v>0</v>
      </c>
      <c r="E12" s="343">
        <v>0</v>
      </c>
      <c r="F12" s="333">
        <f>SUMIF('Unos prihoda i primitaka'!$L$3:$L$501,$B12,'Unos prihoda i primitaka'!G$3:G$501)</f>
        <v>0</v>
      </c>
      <c r="G12" s="333">
        <f>SUMIF('Unos prihoda i primitaka'!$L$3:$L$501,$B12,'Unos prihoda i primitaka'!H$3:H$501)</f>
        <v>0</v>
      </c>
      <c r="H12" s="333">
        <f>SUMIF('Unos prihoda i primitaka'!$L$3:$L$501,$B12,'Unos prihoda i primitaka'!I$3:I$501)</f>
        <v>0</v>
      </c>
      <c r="I12" s="315" t="str">
        <f>'OPĆI DIO'!$C$1</f>
        <v>2452 SVEUČILIŠTE J. J. STROSSMAYERA U OSIJEKU</v>
      </c>
    </row>
    <row r="13" spans="1:10" ht="30">
      <c r="A13" s="277"/>
      <c r="B13" s="278" t="s">
        <v>3889</v>
      </c>
      <c r="C13" s="278" t="s">
        <v>3888</v>
      </c>
      <c r="D13" s="343">
        <f>2865365-742532+139104+167874</f>
        <v>2429811</v>
      </c>
      <c r="E13" s="343">
        <f>2851723+141453+135209+52763</f>
        <v>3181148</v>
      </c>
      <c r="F13" s="333">
        <f>SUMIF('Unos prihoda i primitaka'!$L$3:$L$501,$B13,'Unos prihoda i primitaka'!G$3:G$501)</f>
        <v>1900178</v>
      </c>
      <c r="G13" s="333">
        <f>SUMIF('Unos prihoda i primitaka'!$L$3:$L$501,$B13,'Unos prihoda i primitaka'!H$3:H$501)</f>
        <v>316910</v>
      </c>
      <c r="H13" s="333">
        <f>SUMIF('Unos prihoda i primitaka'!$L$3:$L$501,$B13,'Unos prihoda i primitaka'!I$3:I$501)</f>
        <v>42601</v>
      </c>
      <c r="I13" s="315" t="str">
        <f>'OPĆI DIO'!$C$1</f>
        <v>2452 SVEUČILIŠTE J. J. STROSSMAYERA U OSIJEKU</v>
      </c>
    </row>
    <row r="14" spans="1:10">
      <c r="A14" s="277"/>
      <c r="B14" s="278" t="s">
        <v>3891</v>
      </c>
      <c r="C14" s="278" t="s">
        <v>3890</v>
      </c>
      <c r="D14" s="343">
        <f>100+39+85</f>
        <v>224</v>
      </c>
      <c r="E14" s="343">
        <f>10500+11</f>
        <v>10511</v>
      </c>
      <c r="F14" s="333">
        <f>SUMIF('Unos prihoda i primitaka'!$L$3:$L$501,$B14,'Unos prihoda i primitaka'!G$3:G$501)</f>
        <v>440</v>
      </c>
      <c r="G14" s="333">
        <f>SUMIF('Unos prihoda i primitaka'!$L$3:$L$501,$B14,'Unos prihoda i primitaka'!H$3:H$501)</f>
        <v>410</v>
      </c>
      <c r="H14" s="333">
        <f>SUMIF('Unos prihoda i primitaka'!$L$3:$L$501,$B14,'Unos prihoda i primitaka'!I$3:I$501)</f>
        <v>390</v>
      </c>
      <c r="I14" s="315" t="str">
        <f>'OPĆI DIO'!$C$1</f>
        <v>2452 SVEUČILIŠTE J. J. STROSSMAYERA U OSIJEKU</v>
      </c>
    </row>
    <row r="15" spans="1:10" ht="45">
      <c r="A15" s="277"/>
      <c r="B15" s="278" t="s">
        <v>3892</v>
      </c>
      <c r="C15" s="278" t="s">
        <v>3893</v>
      </c>
      <c r="D15" s="343">
        <f>1522569+48102+155282</f>
        <v>1725953</v>
      </c>
      <c r="E15" s="343">
        <f>1559264+53384+122105+20000</f>
        <v>1754753</v>
      </c>
      <c r="F15" s="333">
        <f>SUMIF('Unos prihoda i primitaka'!$L$3:$L$501,$B15,'Unos prihoda i primitaka'!G$3:G$501)</f>
        <v>916000</v>
      </c>
      <c r="G15" s="333">
        <f>SUMIF('Unos prihoda i primitaka'!$L$3:$L$501,$B15,'Unos prihoda i primitaka'!H$3:H$501)</f>
        <v>823550</v>
      </c>
      <c r="H15" s="333">
        <f>SUMIF('Unos prihoda i primitaka'!$L$3:$L$501,$B15,'Unos prihoda i primitaka'!I$3:I$501)</f>
        <v>751100</v>
      </c>
      <c r="I15" s="315" t="str">
        <f>'OPĆI DIO'!$C$1</f>
        <v>2452 SVEUČILIŠTE J. J. STROSSMAYERA U OSIJEKU</v>
      </c>
    </row>
    <row r="16" spans="1:10" ht="30">
      <c r="A16" s="277"/>
      <c r="B16" s="278" t="s">
        <v>3895</v>
      </c>
      <c r="C16" s="278" t="s">
        <v>3894</v>
      </c>
      <c r="D16" s="343">
        <f>72659+3702+272197</f>
        <v>348558</v>
      </c>
      <c r="E16" s="343">
        <f>74975+730+199000+9000</f>
        <v>283705</v>
      </c>
      <c r="F16" s="333">
        <f>SUMIF('Unos prihoda i primitaka'!$L$3:$L$501,$B16,'Unos prihoda i primitaka'!G$3:G$501)</f>
        <v>275980</v>
      </c>
      <c r="G16" s="333">
        <f>SUMIF('Unos prihoda i primitaka'!$L$3:$L$501,$B16,'Unos prihoda i primitaka'!H$3:H$501)</f>
        <v>265986</v>
      </c>
      <c r="H16" s="333">
        <f>SUMIF('Unos prihoda i primitaka'!$L$3:$L$501,$B16,'Unos prihoda i primitaka'!I$3:I$501)</f>
        <v>265990</v>
      </c>
      <c r="I16" s="315" t="str">
        <f>'OPĆI DIO'!$C$1</f>
        <v>2452 SVEUČILIŠTE J. J. STROSSMAYERA U OSIJEKU</v>
      </c>
    </row>
    <row r="17" spans="1:9" ht="30">
      <c r="A17" s="277"/>
      <c r="B17" s="278" t="s">
        <v>3898</v>
      </c>
      <c r="C17" s="278" t="s">
        <v>3907</v>
      </c>
      <c r="D17" s="343">
        <f>4752639+1030311+1896386+929228</f>
        <v>8608564</v>
      </c>
      <c r="E17" s="343">
        <f>4499766+1046374+1921876+923899</f>
        <v>8391915</v>
      </c>
      <c r="F17" s="333">
        <f>SUMIF('Unos prihoda i primitaka'!$L$3:$L$501,$B17,'Unos prihoda i primitaka'!G$3:G$501)</f>
        <v>8391674</v>
      </c>
      <c r="G17" s="333">
        <f>SUMIF('Unos prihoda i primitaka'!$L$3:$L$501,$B17,'Unos prihoda i primitaka'!H$3:H$501)</f>
        <v>8163799</v>
      </c>
      <c r="H17" s="333">
        <f>SUMIF('Unos prihoda i primitaka'!$L$3:$L$501,$B17,'Unos prihoda i primitaka'!I$3:I$501)</f>
        <v>8190417</v>
      </c>
      <c r="I17" s="315" t="str">
        <f>'OPĆI DIO'!$C$1</f>
        <v>2452 SVEUČILIŠTE J. J. STROSSMAYERA U OSIJEKU</v>
      </c>
    </row>
    <row r="18" spans="1:9">
      <c r="A18" s="277"/>
      <c r="B18" s="278" t="s">
        <v>3897</v>
      </c>
      <c r="C18" s="278" t="s">
        <v>3896</v>
      </c>
      <c r="D18" s="343">
        <v>47</v>
      </c>
      <c r="E18" s="343">
        <v>0</v>
      </c>
      <c r="F18" s="333">
        <f>SUMIF('Unos prihoda i primitaka'!$L$3:$L$501,$B18,'Unos prihoda i primitaka'!G$3:G$501)</f>
        <v>0</v>
      </c>
      <c r="G18" s="333">
        <f>SUMIF('Unos prihoda i primitaka'!$L$3:$L$501,$B18,'Unos prihoda i primitaka'!H$3:H$501)</f>
        <v>0</v>
      </c>
      <c r="H18" s="333">
        <f>SUMIF('Unos prihoda i primitaka'!$L$3:$L$501,$B18,'Unos prihoda i primitaka'!I$3:I$501)</f>
        <v>0</v>
      </c>
      <c r="I18" s="315" t="str">
        <f>'OPĆI DIO'!$C$1</f>
        <v>2452 SVEUČILIŠTE J. J. STROSSMAYERA U OSIJEKU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2452 SVEUČILIŠTE J. J. STROSSMAYERA U OSIJEKU</v>
      </c>
    </row>
    <row r="20" spans="1:9" ht="30">
      <c r="A20" s="279"/>
      <c r="B20" s="280" t="s">
        <v>3899</v>
      </c>
      <c r="C20" s="278" t="s">
        <v>3900</v>
      </c>
      <c r="D20" s="343">
        <v>0</v>
      </c>
      <c r="E20" s="343">
        <v>0</v>
      </c>
      <c r="F20" s="333">
        <f>SUMIF('Unos prihoda i primitaka'!$L$3:$L$501,$B20,'Unos prihoda i primitaka'!G$3:G$501)</f>
        <v>0</v>
      </c>
      <c r="G20" s="333">
        <f>SUMIF('Unos prihoda i primitaka'!$L$3:$L$501,$B20,'Unos prihoda i primitaka'!H$3:H$501)</f>
        <v>0</v>
      </c>
      <c r="H20" s="333">
        <f>SUMIF('Unos prihoda i primitaka'!$L$3:$L$501,$B20,'Unos prihoda i primitaka'!I$3:I$501)</f>
        <v>0</v>
      </c>
      <c r="I20" s="315" t="str">
        <f>'OPĆI DIO'!$C$1</f>
        <v>2452 SVEUČILIŠTE J. J. STROSSMAYERA U OSIJEKU</v>
      </c>
    </row>
    <row r="21" spans="1:9" ht="30">
      <c r="A21" s="279"/>
      <c r="B21" s="280" t="s">
        <v>3901</v>
      </c>
      <c r="C21" s="278" t="s">
        <v>3902</v>
      </c>
      <c r="D21" s="343">
        <v>0</v>
      </c>
      <c r="E21" s="343">
        <v>0</v>
      </c>
      <c r="F21" s="333">
        <f>SUMIF('Unos prihoda i primitaka'!$L$3:$L$501,$B21,'Unos prihoda i primitaka'!G$3:G$501)</f>
        <v>0</v>
      </c>
      <c r="G21" s="333">
        <f>SUMIF('Unos prihoda i primitaka'!$L$3:$L$501,$B21,'Unos prihoda i primitaka'!H$3:H$501)</f>
        <v>0</v>
      </c>
      <c r="H21" s="333">
        <f>SUMIF('Unos prihoda i primitaka'!$L$3:$L$501,$B21,'Unos prihoda i primitaka'!I$3:I$501)</f>
        <v>0</v>
      </c>
      <c r="I21" s="315" t="str">
        <f>'OPĆI DIO'!$C$1</f>
        <v>2452 SVEUČILIŠTE J. J. STROSSMAYERA U OSIJEKU</v>
      </c>
    </row>
    <row r="24" spans="1:9" ht="30">
      <c r="A24" s="397" t="s">
        <v>4778</v>
      </c>
      <c r="B24" s="398"/>
      <c r="C24" s="399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3">
        <v>1</v>
      </c>
      <c r="B25" s="394"/>
      <c r="C25" s="395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2">
        <f>+D27+D35</f>
        <v>11227105.397106644</v>
      </c>
      <c r="E26" s="332">
        <f t="shared" ref="E26:H26" si="3">+E27+E35</f>
        <v>13014610</v>
      </c>
      <c r="F26" s="332">
        <f t="shared" si="3"/>
        <v>10894272</v>
      </c>
      <c r="G26" s="332">
        <f t="shared" si="3"/>
        <v>9807670</v>
      </c>
      <c r="H26" s="332">
        <f t="shared" si="3"/>
        <v>9502596</v>
      </c>
      <c r="I26" s="315" t="str">
        <f>'OPĆI DIO'!$C$1</f>
        <v>2452 SVEUČILIŠTE J. J. STROSSMAYERA U OSIJEKU</v>
      </c>
    </row>
    <row r="27" spans="1:9">
      <c r="A27" s="277">
        <v>3</v>
      </c>
      <c r="B27" s="277"/>
      <c r="C27" s="277" t="s">
        <v>4784</v>
      </c>
      <c r="D27" s="308">
        <f>SUM(D28:D34)</f>
        <v>10280339.397106644</v>
      </c>
      <c r="E27" s="308">
        <f t="shared" ref="E27:H27" si="4">SUM(E28:E34)</f>
        <v>11925095</v>
      </c>
      <c r="F27" s="308">
        <f t="shared" si="4"/>
        <v>10494836</v>
      </c>
      <c r="G27" s="308">
        <f t="shared" si="4"/>
        <v>9443716</v>
      </c>
      <c r="H27" s="308">
        <f t="shared" si="4"/>
        <v>9149729</v>
      </c>
      <c r="I27" s="315" t="str">
        <f>'OPĆI DIO'!$C$1</f>
        <v>2452 SVEUČILIŠTE J. J. STROSSMAYERA U OSIJEKU</v>
      </c>
    </row>
    <row r="28" spans="1:9">
      <c r="A28" s="277"/>
      <c r="B28" s="278">
        <v>31</v>
      </c>
      <c r="C28" s="278" t="s">
        <v>195</v>
      </c>
      <c r="D28" s="344">
        <f>1834063+2+969501+1917319+875662</f>
        <v>5596547</v>
      </c>
      <c r="E28" s="344">
        <f>3169042+956447+1874953+894149</f>
        <v>6894591</v>
      </c>
      <c r="F28" s="335">
        <f>SUMIF('Unos rashoda i izdataka'!$P$3:$P$501,$B28,'Unos rashoda i izdataka'!J$3:J$501)+SUMIF('Unos rashoda P4'!$S$3:$S$501,$B28,'Unos rashoda P4'!H$3:H$501)</f>
        <v>6776749</v>
      </c>
      <c r="G28" s="335">
        <f>SUMIF('Unos rashoda i izdataka'!$P$3:$P$501,$B28,'Unos rashoda i izdataka'!K$3:K$501)+SUMIF('Unos rashoda P4'!$S$3:$S$501,$B28,'Unos rashoda P4'!I$3:I$501)</f>
        <v>6770566</v>
      </c>
      <c r="H28" s="335">
        <f>SUMIF('Unos rashoda i izdataka'!$P$3:$P$501,$B28,'Unos rashoda i izdataka'!L$3:L$501)+SUMIF('Unos rashoda P4'!$S$3:$S$501,$B28,'Unos rashoda P4'!J$3:J$501)</f>
        <v>6757554</v>
      </c>
      <c r="I28" s="315" t="str">
        <f>'OPĆI DIO'!$C$1</f>
        <v>2452 SVEUČILIŠTE J. J. STROSSMAYERA U OSIJEKU</v>
      </c>
    </row>
    <row r="29" spans="1:9">
      <c r="A29" s="280"/>
      <c r="B29" s="280">
        <v>32</v>
      </c>
      <c r="C29" s="288" t="s">
        <v>196</v>
      </c>
      <c r="D29" s="345">
        <f>1899913+196746+368925+77937</f>
        <v>2543521</v>
      </c>
      <c r="E29" s="345">
        <f>2054966+196217+351349+111133</f>
        <v>2713665</v>
      </c>
      <c r="F29" s="335">
        <f>SUMIF('Unos rashoda i izdataka'!$P$3:$P$501,$B29,'Unos rashoda i izdataka'!J$3:J$501)+SUMIF('Unos rashoda P4'!$S$3:$S$501,$B29,'Unos rashoda P4'!H$3:H$501)</f>
        <v>3094945</v>
      </c>
      <c r="G29" s="335">
        <f>SUMIF('Unos rashoda i izdataka'!$P$3:$P$501,$B29,'Unos rashoda i izdataka'!K$3:K$501)+SUMIF('Unos rashoda P4'!$S$3:$S$501,$B29,'Unos rashoda P4'!I$3:I$501)</f>
        <v>2115460</v>
      </c>
      <c r="H29" s="335">
        <f>SUMIF('Unos rashoda i izdataka'!$P$3:$P$501,$B29,'Unos rashoda i izdataka'!L$3:L$501)+SUMIF('Unos rashoda P4'!$S$3:$S$501,$B29,'Unos rashoda P4'!J$3:J$501)</f>
        <v>1986531</v>
      </c>
      <c r="I29" s="315" t="str">
        <f>'OPĆI DIO'!$C$1</f>
        <v>2452 SVEUČILIŠTE J. J. STROSSMAYERA U OSIJEKU</v>
      </c>
    </row>
    <row r="30" spans="1:9">
      <c r="A30" s="280"/>
      <c r="B30" s="280">
        <v>34</v>
      </c>
      <c r="C30" s="288" t="s">
        <v>197</v>
      </c>
      <c r="D30" s="345">
        <f>19873+2451+3335</f>
        <v>25659</v>
      </c>
      <c r="E30" s="345">
        <f>25953+1630+2256+380</f>
        <v>30219</v>
      </c>
      <c r="F30" s="335">
        <f>SUMIF('Unos rashoda i izdataka'!$P$3:$P$501,$B30,'Unos rashoda i izdataka'!J$3:J$501)+SUMIF('Unos rashoda P4'!$S$3:$S$501,$B30,'Unos rashoda P4'!H$3:H$501)</f>
        <v>15530</v>
      </c>
      <c r="G30" s="335">
        <f>SUMIF('Unos rashoda i izdataka'!$P$3:$P$501,$B30,'Unos rashoda i izdataka'!K$3:K$501)+SUMIF('Unos rashoda P4'!$S$3:$S$501,$B30,'Unos rashoda P4'!I$3:I$501)</f>
        <v>15534</v>
      </c>
      <c r="H30" s="335">
        <f>SUMIF('Unos rashoda i izdataka'!$P$3:$P$501,$B30,'Unos rashoda i izdataka'!L$3:L$501)+SUMIF('Unos rashoda P4'!$S$3:$S$501,$B30,'Unos rashoda P4'!J$3:J$501)</f>
        <v>15526</v>
      </c>
      <c r="I30" s="315" t="str">
        <f>'OPĆI DIO'!$C$1</f>
        <v>2452 SVEUČILIŠTE J. J. STROSSMAYERA U OSIJEKU</v>
      </c>
    </row>
    <row r="31" spans="1:9">
      <c r="A31" s="280"/>
      <c r="B31" s="280">
        <v>35</v>
      </c>
      <c r="C31" s="288" t="s">
        <v>244</v>
      </c>
      <c r="D31" s="345">
        <f>1088467/7.5345</f>
        <v>144464.39710664278</v>
      </c>
      <c r="E31" s="345">
        <v>92906</v>
      </c>
      <c r="F31" s="335">
        <f>SUMIF('Unos rashoda i izdataka'!$P$3:$P$501,$B31,'Unos rashoda i izdataka'!J$3:J$501)+SUMIF('Unos rashoda P4'!$S$3:$S$501,$B31,'Unos rashoda P4'!H$3:H$501)</f>
        <v>0</v>
      </c>
      <c r="G31" s="335">
        <f>SUMIF('Unos rashoda i izdataka'!$P$3:$P$501,$B31,'Unos rashoda i izdataka'!K$3:K$501)+SUMIF('Unos rashoda P4'!$S$3:$S$501,$B31,'Unos rashoda P4'!I$3:I$501)</f>
        <v>0</v>
      </c>
      <c r="H31" s="335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2452 SVEUČILIŠTE J. J. STROSSMAYERA U OSIJEKU</v>
      </c>
    </row>
    <row r="32" spans="1:9" ht="30">
      <c r="A32" s="280"/>
      <c r="B32" s="280">
        <v>36</v>
      </c>
      <c r="C32" s="288" t="s">
        <v>198</v>
      </c>
      <c r="D32" s="345">
        <f>1249816+39201</f>
        <v>1289017</v>
      </c>
      <c r="E32" s="345">
        <f>1019709+46486</f>
        <v>1066195</v>
      </c>
      <c r="F32" s="335">
        <f>SUMIF('Unos rashoda i izdataka'!$P$3:$P$501,$B32,'Unos rashoda i izdataka'!J$3:J$501)+SUMIF('Unos rashoda P4'!$S$3:$S$501,$B32,'Unos rashoda P4'!H$3:H$501)</f>
        <v>0</v>
      </c>
      <c r="G32" s="335">
        <f>SUMIF('Unos rashoda i izdataka'!$P$3:$P$501,$B32,'Unos rashoda i izdataka'!K$3:K$501)+SUMIF('Unos rashoda P4'!$S$3:$S$501,$B32,'Unos rashoda P4'!I$3:I$501)</f>
        <v>0</v>
      </c>
      <c r="H32" s="335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2452 SVEUČILIŠTE J. J. STROSSMAYERA U OSIJEKU</v>
      </c>
    </row>
    <row r="33" spans="1:9" ht="30">
      <c r="A33" s="280"/>
      <c r="B33" s="280">
        <v>37</v>
      </c>
      <c r="C33" s="288" t="s">
        <v>245</v>
      </c>
      <c r="D33" s="345">
        <f>666617+4333+2749</f>
        <v>673699</v>
      </c>
      <c r="E33" s="345">
        <f>1010559+4380+2654</f>
        <v>1017593</v>
      </c>
      <c r="F33" s="335">
        <f>SUMIF('Unos rashoda i izdataka'!$P$3:$P$501,$B33,'Unos rashoda i izdataka'!J$3:J$501)+SUMIF('Unos rashoda P4'!$S$3:$S$501,$B33,'Unos rashoda P4'!H$3:H$501)</f>
        <v>528600</v>
      </c>
      <c r="G33" s="335">
        <f>SUMIF('Unos rashoda i izdataka'!$P$3:$P$501,$B33,'Unos rashoda i izdataka'!K$3:K$501)+SUMIF('Unos rashoda P4'!$S$3:$S$501,$B33,'Unos rashoda P4'!I$3:I$501)</f>
        <v>463604</v>
      </c>
      <c r="H33" s="335">
        <f>SUMIF('Unos rashoda i izdataka'!$P$3:$P$501,$B33,'Unos rashoda i izdataka'!L$3:L$501)+SUMIF('Unos rashoda P4'!$S$3:$S$501,$B33,'Unos rashoda P4'!J$3:J$501)</f>
        <v>312606</v>
      </c>
      <c r="I33" s="315" t="str">
        <f>'OPĆI DIO'!$C$1</f>
        <v>2452 SVEUČILIŠTE J. J. STROSSMAYERA U OSIJEKU</v>
      </c>
    </row>
    <row r="34" spans="1:9">
      <c r="A34" s="280"/>
      <c r="B34" s="280">
        <v>38</v>
      </c>
      <c r="C34" s="288" t="s">
        <v>199</v>
      </c>
      <c r="D34" s="345">
        <v>7432</v>
      </c>
      <c r="E34" s="345">
        <v>109926</v>
      </c>
      <c r="F34" s="335">
        <f>SUMIF('Unos rashoda i izdataka'!$P$3:$P$501,$B34,'Unos rashoda i izdataka'!J$3:J$501)+SUMIF('Unos rashoda P4'!$S$3:$S$501,$B34,'Unos rashoda P4'!H$3:H$501)</f>
        <v>79012</v>
      </c>
      <c r="G34" s="335">
        <f>SUMIF('Unos rashoda i izdataka'!$P$3:$P$501,$B34,'Unos rashoda i izdataka'!K$3:K$501)+SUMIF('Unos rashoda P4'!$S$3:$S$501,$B34,'Unos rashoda P4'!I$3:I$501)</f>
        <v>78552</v>
      </c>
      <c r="H34" s="335">
        <f>SUMIF('Unos rashoda i izdataka'!$P$3:$P$501,$B34,'Unos rashoda i izdataka'!L$3:L$501)+SUMIF('Unos rashoda P4'!$S$3:$S$501,$B34,'Unos rashoda P4'!J$3:J$501)</f>
        <v>77512</v>
      </c>
      <c r="I34" s="315" t="str">
        <f>'OPĆI DIO'!$C$1</f>
        <v>2452 SVEUČILIŠTE J. J. STROSSMAYERA U OSIJEKU</v>
      </c>
    </row>
    <row r="35" spans="1:9" ht="30">
      <c r="A35" s="284">
        <v>4</v>
      </c>
      <c r="B35" s="285"/>
      <c r="C35" s="286" t="s">
        <v>4785</v>
      </c>
      <c r="D35" s="308">
        <f>SUM(D36:D40)</f>
        <v>946766</v>
      </c>
      <c r="E35" s="308">
        <f t="shared" ref="E35:H35" si="5">SUM(E36:E40)</f>
        <v>1089515</v>
      </c>
      <c r="F35" s="308">
        <f t="shared" si="5"/>
        <v>399436</v>
      </c>
      <c r="G35" s="308">
        <f t="shared" si="5"/>
        <v>363954</v>
      </c>
      <c r="H35" s="308">
        <f t="shared" si="5"/>
        <v>352867</v>
      </c>
      <c r="I35" s="315" t="str">
        <f>'OPĆI DIO'!$C$1</f>
        <v>2452 SVEUČILIŠTE J. J. STROSSMAYERA U OSIJEKU</v>
      </c>
    </row>
    <row r="36" spans="1:9" ht="30">
      <c r="A36" s="278"/>
      <c r="B36" s="278">
        <v>41</v>
      </c>
      <c r="C36" s="287" t="s">
        <v>246</v>
      </c>
      <c r="D36" s="344">
        <v>6470</v>
      </c>
      <c r="E36" s="344">
        <v>5479</v>
      </c>
      <c r="F36" s="335">
        <f>SUMIF('Unos rashoda i izdataka'!$P$3:$P$501,$B36,'Unos rashoda i izdataka'!J$3:J$501)+SUMIF('Unos rashoda P4'!$S$3:$S$501,$B36,'Unos rashoda P4'!H$3:H$501)</f>
        <v>5000</v>
      </c>
      <c r="G36" s="335">
        <f>SUMIF('Unos rashoda i izdataka'!$P$3:$P$501,$B36,'Unos rashoda i izdataka'!K$3:K$501)+SUMIF('Unos rashoda P4'!$S$3:$S$501,$B36,'Unos rashoda P4'!I$3:I$501)</f>
        <v>5000</v>
      </c>
      <c r="H36" s="335">
        <f>SUMIF('Unos rashoda i izdataka'!$P$3:$P$501,$B36,'Unos rashoda i izdataka'!L$3:L$501)+SUMIF('Unos rashoda P4'!$S$3:$S$501,$B36,'Unos rashoda P4'!J$3:J$501)</f>
        <v>5000</v>
      </c>
      <c r="I36" s="315" t="str">
        <f>'OPĆI DIO'!$C$1</f>
        <v>2452 SVEUČILIŠTE J. J. STROSSMAYERA U OSIJEKU</v>
      </c>
    </row>
    <row r="37" spans="1:9" ht="30">
      <c r="A37" s="278"/>
      <c r="B37" s="278">
        <v>42</v>
      </c>
      <c r="C37" s="287" t="s">
        <v>227</v>
      </c>
      <c r="D37" s="344">
        <f>906561+6008+27727</f>
        <v>940296</v>
      </c>
      <c r="E37" s="344">
        <f>956650+53355+66442</f>
        <v>1076447</v>
      </c>
      <c r="F37" s="335">
        <f>SUMIF('Unos rashoda i izdataka'!$P$3:$P$501,$B37,'Unos rashoda i izdataka'!J$3:J$501)+SUMIF('Unos rashoda P4'!$S$3:$S$501,$B37,'Unos rashoda P4'!H$3:H$501)</f>
        <v>389336</v>
      </c>
      <c r="G37" s="335">
        <f>SUMIF('Unos rashoda i izdataka'!$P$3:$P$501,$B37,'Unos rashoda i izdataka'!K$3:K$501)+SUMIF('Unos rashoda P4'!$S$3:$S$501,$B37,'Unos rashoda P4'!I$3:I$501)</f>
        <v>353854</v>
      </c>
      <c r="H37" s="335">
        <f>SUMIF('Unos rashoda i izdataka'!$P$3:$P$501,$B37,'Unos rashoda i izdataka'!L$3:L$501)+SUMIF('Unos rashoda P4'!$S$3:$S$501,$B37,'Unos rashoda P4'!J$3:J$501)</f>
        <v>342767</v>
      </c>
      <c r="I37" s="315" t="str">
        <f>'OPĆI DIO'!$C$1</f>
        <v>2452 SVEUČILIŠTE J. J. STROSSMAYERA U OSIJEKU</v>
      </c>
    </row>
    <row r="38" spans="1:9" ht="30">
      <c r="A38" s="278"/>
      <c r="B38" s="278">
        <v>43</v>
      </c>
      <c r="C38" s="287" t="s">
        <v>247</v>
      </c>
      <c r="D38" s="344">
        <v>0</v>
      </c>
      <c r="E38" s="344">
        <v>110</v>
      </c>
      <c r="F38" s="335">
        <f>SUMIF('Unos rashoda i izdataka'!$P$3:$P$501,$B38,'Unos rashoda i izdataka'!J$3:J$501)+SUMIF('Unos rashoda P4'!$S$3:$S$501,$B38,'Unos rashoda P4'!H$3:H$501)</f>
        <v>100</v>
      </c>
      <c r="G38" s="335">
        <f>SUMIF('Unos rashoda i izdataka'!$P$3:$P$501,$B38,'Unos rashoda i izdataka'!K$3:K$501)+SUMIF('Unos rashoda P4'!$S$3:$S$501,$B38,'Unos rashoda P4'!I$3:I$501)</f>
        <v>100</v>
      </c>
      <c r="H38" s="335">
        <f>SUMIF('Unos rashoda i izdataka'!$P$3:$P$501,$B38,'Unos rashoda i izdataka'!L$3:L$501)+SUMIF('Unos rashoda P4'!$S$3:$S$501,$B38,'Unos rashoda P4'!J$3:J$501)</f>
        <v>100</v>
      </c>
      <c r="I38" s="315" t="str">
        <f>'OPĆI DIO'!$C$1</f>
        <v>2452 SVEUČILIŠTE J. J. STROSSMAYERA U OSIJEKU</v>
      </c>
    </row>
    <row r="39" spans="1:9" ht="30">
      <c r="A39" s="278"/>
      <c r="B39" s="278">
        <v>44</v>
      </c>
      <c r="C39" s="287" t="s">
        <v>248</v>
      </c>
      <c r="D39" s="344">
        <v>0</v>
      </c>
      <c r="E39" s="344">
        <v>0</v>
      </c>
      <c r="F39" s="335">
        <f>SUMIF('Unos rashoda i izdataka'!$P$3:$P$501,$B39,'Unos rashoda i izdataka'!J$3:J$501)+SUMIF('Unos rashoda P4'!$S$3:$S$501,$B39,'Unos rashoda P4'!H$3:H$501)</f>
        <v>0</v>
      </c>
      <c r="G39" s="335">
        <f>SUMIF('Unos rashoda i izdataka'!$P$3:$P$501,$B39,'Unos rashoda i izdataka'!K$3:K$501)+SUMIF('Unos rashoda P4'!$S$3:$S$501,$B39,'Unos rashoda P4'!I$3:I$501)</f>
        <v>0</v>
      </c>
      <c r="H39" s="335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2452 SVEUČILIŠTE J. J. STROSSMAYERA U OSIJEKU</v>
      </c>
    </row>
    <row r="40" spans="1:9" ht="30">
      <c r="A40" s="278"/>
      <c r="B40" s="278">
        <v>45</v>
      </c>
      <c r="C40" s="287" t="s">
        <v>200</v>
      </c>
      <c r="D40" s="344">
        <v>0</v>
      </c>
      <c r="E40" s="344">
        <v>7479</v>
      </c>
      <c r="F40" s="335">
        <f>SUMIF('Unos rashoda i izdataka'!$P$3:$P$501,$B40,'Unos rashoda i izdataka'!J$3:J$501)+SUMIF('Unos rashoda P4'!$S$3:$S$501,$B40,'Unos rashoda P4'!H$3:H$501)</f>
        <v>5000</v>
      </c>
      <c r="G40" s="335">
        <f>SUMIF('Unos rashoda i izdataka'!$P$3:$P$501,$B40,'Unos rashoda i izdataka'!K$3:K$501)+SUMIF('Unos rashoda P4'!$S$3:$S$501,$B40,'Unos rashoda P4'!I$3:I$501)</f>
        <v>5000</v>
      </c>
      <c r="H40" s="335">
        <f>SUMIF('Unos rashoda i izdataka'!$P$3:$P$501,$B40,'Unos rashoda i izdataka'!L$3:L$501)+SUMIF('Unos rashoda P4'!$S$3:$S$501,$B40,'Unos rashoda P4'!J$3:J$501)</f>
        <v>5000</v>
      </c>
      <c r="I40" s="315" t="str">
        <f>'OPĆI DIO'!$C$1</f>
        <v>2452 SVEUČILIŠTE J. J. STROSSMAYERA U OSIJEKU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D42" sqref="D42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6" t="s">
        <v>4786</v>
      </c>
      <c r="C1" s="396"/>
      <c r="D1" s="396"/>
      <c r="E1" s="396"/>
      <c r="F1" s="396"/>
      <c r="G1" s="396"/>
    </row>
    <row r="2" spans="1:8">
      <c r="B2" s="272"/>
      <c r="C2" s="272"/>
      <c r="D2" s="272"/>
      <c r="E2" s="272"/>
      <c r="F2" s="272"/>
      <c r="G2" s="272"/>
    </row>
    <row r="3" spans="1:8" ht="30">
      <c r="A3" s="358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59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58"/>
      <c r="B5" s="353" t="s">
        <v>3966</v>
      </c>
      <c r="C5" s="310">
        <f>+C6+C9+C11+C14+C25+C28</f>
        <v>81966346</v>
      </c>
      <c r="D5" s="310">
        <f>+D6+D9+D11+D14+D25+D28</f>
        <v>12298036476</v>
      </c>
      <c r="E5" s="310">
        <f>+E6+E9+E11+E14+E25+E28</f>
        <v>11484272</v>
      </c>
      <c r="F5" s="310">
        <f>+F6+F9+F11+F14+F25+F28</f>
        <v>9570655</v>
      </c>
      <c r="G5" s="310">
        <f>+G6+G9+G11+G14+G25+G28</f>
        <v>9250498</v>
      </c>
      <c r="H5" s="315" t="str">
        <f>'OPĆI DIO'!$C$1</f>
        <v>2452 SVEUČILIŠTE J. J. STROSSMAYERA U OSIJEKU</v>
      </c>
    </row>
    <row r="6" spans="1:8">
      <c r="A6" s="358">
        <v>1</v>
      </c>
      <c r="B6" s="354" t="s">
        <v>4787</v>
      </c>
      <c r="C6" s="311">
        <f>+C7+C8</f>
        <v>8608565</v>
      </c>
      <c r="D6" s="309">
        <f t="shared" ref="D6:G6" si="0">+D7+D8</f>
        <v>8329190</v>
      </c>
      <c r="E6" s="309">
        <f t="shared" si="0"/>
        <v>8391674</v>
      </c>
      <c r="F6" s="309">
        <f t="shared" si="0"/>
        <v>8163799</v>
      </c>
      <c r="G6" s="309">
        <f t="shared" si="0"/>
        <v>8190417</v>
      </c>
      <c r="H6" s="315" t="str">
        <f>'OPĆI DIO'!$C$1</f>
        <v>2452 SVEUČILIŠTE J. J. STROSSMAYERA U OSIJEKU</v>
      </c>
    </row>
    <row r="7" spans="1:8">
      <c r="A7" s="358">
        <v>11</v>
      </c>
      <c r="B7" s="355" t="s">
        <v>4788</v>
      </c>
      <c r="C7" s="343">
        <f>1030312+3987562+1896386+929228</f>
        <v>7843488</v>
      </c>
      <c r="D7" s="343">
        <f>1046374+4387971+1921876+861174</f>
        <v>8217395</v>
      </c>
      <c r="E7" s="333">
        <f>SUMIF('Unos prihoda i primitaka'!$C$3:$C$501,$A7,'Unos prihoda i primitaka'!G$3:G$501)</f>
        <v>8132851</v>
      </c>
      <c r="F7" s="333">
        <f>SUMIF('Unos prihoda i primitaka'!$C$3:$C$501,$A7,'Unos prihoda i primitaka'!H$3:H$501)</f>
        <v>8163799</v>
      </c>
      <c r="G7" s="333">
        <f>SUMIF('Unos prihoda i primitaka'!$C$3:$C$501,$A7,'Unos prihoda i primitaka'!I$3:I$501)</f>
        <v>8190417</v>
      </c>
      <c r="H7" s="315" t="str">
        <f>'OPĆI DIO'!$C$1</f>
        <v>2452 SVEUČILIŠTE J. J. STROSSMAYERA U OSIJEKU</v>
      </c>
    </row>
    <row r="8" spans="1:8">
      <c r="A8" s="358">
        <v>12</v>
      </c>
      <c r="B8" s="356" t="s">
        <v>4789</v>
      </c>
      <c r="C8" s="343">
        <f>765077</f>
        <v>765077</v>
      </c>
      <c r="D8" s="343">
        <v>111795</v>
      </c>
      <c r="E8" s="333">
        <f>SUMIF('Unos prihoda i primitaka'!$C$3:$C$501,$A8,'Unos prihoda i primitaka'!G$3:G$501)</f>
        <v>258823</v>
      </c>
      <c r="F8" s="333">
        <f>SUMIF('Unos prihoda i primitaka'!$C$3:$C$501,$A8,'Unos prihoda i primitaka'!H$3:H$501)</f>
        <v>0</v>
      </c>
      <c r="G8" s="333">
        <f>SUMIF('Unos prihoda i primitaka'!$C$3:$C$501,$A8,'Unos prihoda i primitaka'!I$3:I$501)</f>
        <v>0</v>
      </c>
      <c r="H8" s="315" t="str">
        <f>'OPĆI DIO'!$C$1</f>
        <v>2452 SVEUČILIŠTE J. J. STROSSMAYERA U OSIJEKU</v>
      </c>
    </row>
    <row r="9" spans="1:8" s="341" customFormat="1">
      <c r="A9" s="360">
        <v>3</v>
      </c>
      <c r="B9" s="354" t="s">
        <v>4790</v>
      </c>
      <c r="C9" s="309">
        <f>+C10</f>
        <v>69136977</v>
      </c>
      <c r="D9" s="309">
        <f t="shared" ref="D9:G9" si="1">+D10</f>
        <v>74393490</v>
      </c>
      <c r="E9" s="309">
        <f t="shared" si="1"/>
        <v>276420</v>
      </c>
      <c r="F9" s="309">
        <f t="shared" si="1"/>
        <v>266396</v>
      </c>
      <c r="G9" s="309">
        <f t="shared" si="1"/>
        <v>266380</v>
      </c>
      <c r="H9" s="315" t="str">
        <f>'OPĆI DIO'!$C$1</f>
        <v>2452 SVEUČILIŠTE J. J. STROSSMAYERA U OSIJEKU</v>
      </c>
    </row>
    <row r="10" spans="1:8">
      <c r="A10" s="358">
        <v>31</v>
      </c>
      <c r="B10" s="357" t="s">
        <v>4791</v>
      </c>
      <c r="C10" s="343">
        <f>68872659+263568+750</f>
        <v>69136977</v>
      </c>
      <c r="D10" s="343">
        <f>74185475+199000+9015</f>
        <v>74393490</v>
      </c>
      <c r="E10" s="333">
        <f>SUMIF('Unos prihoda i primitaka'!$C$3:$C$501,$A10,'Unos prihoda i primitaka'!G$3:G$501)</f>
        <v>276420</v>
      </c>
      <c r="F10" s="333">
        <f>SUMIF('Unos prihoda i primitaka'!$C$3:$C$501,$A10,'Unos prihoda i primitaka'!H$3:H$501)</f>
        <v>266396</v>
      </c>
      <c r="G10" s="333">
        <f>SUMIF('Unos prihoda i primitaka'!$C$3:$C$501,$A10,'Unos prihoda i primitaka'!I$3:I$501)</f>
        <v>266380</v>
      </c>
      <c r="H10" s="315" t="str">
        <f>'OPĆI DIO'!$C$1</f>
        <v>2452 SVEUČILIŠTE J. J. STROSSMAYERA U OSIJEKU</v>
      </c>
    </row>
    <row r="11" spans="1:8" s="341" customFormat="1">
      <c r="A11" s="360">
        <v>4</v>
      </c>
      <c r="B11" s="354" t="s">
        <v>4792</v>
      </c>
      <c r="C11" s="309">
        <f>+C12+C13</f>
        <v>1760649</v>
      </c>
      <c r="D11" s="309">
        <f t="shared" ref="D11:G11" si="2">+D12+D13</f>
        <v>12212132648</v>
      </c>
      <c r="E11" s="309">
        <f t="shared" si="2"/>
        <v>916000</v>
      </c>
      <c r="F11" s="309">
        <f t="shared" si="2"/>
        <v>823550</v>
      </c>
      <c r="G11" s="309">
        <f t="shared" si="2"/>
        <v>751100</v>
      </c>
      <c r="H11" s="315" t="str">
        <f>'OPĆI DIO'!$C$1</f>
        <v>2452 SVEUČILIŠTE J. J. STROSSMAYERA U OSIJEKU</v>
      </c>
    </row>
    <row r="12" spans="1:8">
      <c r="A12" s="358">
        <v>41</v>
      </c>
      <c r="B12" s="357" t="s">
        <v>4793</v>
      </c>
      <c r="C12" s="343">
        <v>0</v>
      </c>
      <c r="D12" s="343"/>
      <c r="E12" s="333">
        <f>SUMIF('Unos prihoda i primitaka'!$C$3:$C$501,$A12,'Unos prihoda i primitaka'!G$3:G$501)</f>
        <v>0</v>
      </c>
      <c r="F12" s="333">
        <f>SUMIF('Unos prihoda i primitaka'!$C$3:$C$501,$A12,'Unos prihoda i primitaka'!H$3:H$501)</f>
        <v>0</v>
      </c>
      <c r="G12" s="333">
        <f>SUMIF('Unos prihoda i primitaka'!$C$3:$C$501,$A12,'Unos prihoda i primitaka'!I$3:I$501)</f>
        <v>0</v>
      </c>
      <c r="H12" s="315" t="str">
        <f>'OPĆI DIO'!$C$1</f>
        <v>2452 SVEUČILIŠTE J. J. STROSSMAYERA U OSIJEKU</v>
      </c>
    </row>
    <row r="13" spans="1:8">
      <c r="A13" s="361">
        <v>43</v>
      </c>
      <c r="B13" s="357" t="s">
        <v>4794</v>
      </c>
      <c r="C13" s="343">
        <f>48102+1522569+155329+34649</f>
        <v>1760649</v>
      </c>
      <c r="D13" s="343">
        <f>53384+1559264+12210520000</f>
        <v>12212132648</v>
      </c>
      <c r="E13" s="333">
        <f>SUMIF('Unos prihoda i primitaka'!$C$3:$C$501,$A13,'Unos prihoda i primitaka'!G$3:G$501)-'B.2 RAČUN FINANC IF'!E7</f>
        <v>916000</v>
      </c>
      <c r="F13" s="333">
        <f>SUMIF('Unos prihoda i primitaka'!$C$3:$C$501,$A13,'Unos prihoda i primitaka'!H$3:H$501)-'B.2 RAČUN FINANC IF'!F7</f>
        <v>823550</v>
      </c>
      <c r="G13" s="333">
        <f>SUMIF('Unos prihoda i primitaka'!$C$3:$C$501,$A13,'Unos prihoda i primitaka'!I$3:I$501)-'B.2 RAČUN FINANC IF'!G7</f>
        <v>751100</v>
      </c>
      <c r="H13" s="315" t="str">
        <f>'OPĆI DIO'!$C$1</f>
        <v>2452 SVEUČILIŠTE J. J. STROSSMAYERA U OSIJEKU</v>
      </c>
    </row>
    <row r="14" spans="1:8" s="341" customFormat="1">
      <c r="A14" s="360">
        <v>5</v>
      </c>
      <c r="B14" s="354" t="s">
        <v>4795</v>
      </c>
      <c r="C14" s="309">
        <f>SUM(C15:C24)</f>
        <v>2448387</v>
      </c>
      <c r="D14" s="309">
        <f>SUM(D15:D24)</f>
        <v>3181148</v>
      </c>
      <c r="E14" s="309">
        <f>SUM(E15:E24)</f>
        <v>1900178</v>
      </c>
      <c r="F14" s="309">
        <f>SUM(F15:F24)</f>
        <v>316910</v>
      </c>
      <c r="G14" s="309">
        <f>SUM(G15:G24)</f>
        <v>42601</v>
      </c>
      <c r="H14" s="315" t="str">
        <f>'OPĆI DIO'!$C$1</f>
        <v>2452 SVEUČILIŠTE J. J. STROSSMAYERA U OSIJEKU</v>
      </c>
    </row>
    <row r="15" spans="1:8">
      <c r="A15" s="358">
        <v>51</v>
      </c>
      <c r="B15" s="357" t="s">
        <v>4796</v>
      </c>
      <c r="C15" s="343">
        <v>21458</v>
      </c>
      <c r="D15" s="343">
        <v>0</v>
      </c>
      <c r="E15" s="333">
        <f>SUMIF('Unos prihoda i primitaka'!$C$3:$C$501,$A15,'Unos prihoda i primitaka'!G$3:G$501)</f>
        <v>15000</v>
      </c>
      <c r="F15" s="333">
        <f>SUMIF('Unos prihoda i primitaka'!$C$3:$C$501,$A15,'Unos prihoda i primitaka'!H$3:H$501)</f>
        <v>15000</v>
      </c>
      <c r="G15" s="333">
        <f>SUMIF('Unos prihoda i primitaka'!$C$3:$C$501,$A15,'Unos prihoda i primitaka'!I$3:I$501)</f>
        <v>6445</v>
      </c>
      <c r="H15" s="315" t="str">
        <f>'OPĆI DIO'!$C$1</f>
        <v>2452 SVEUČILIŠTE J. J. STROSSMAYERA U OSIJEKU</v>
      </c>
    </row>
    <row r="16" spans="1:8">
      <c r="A16" s="358">
        <v>52</v>
      </c>
      <c r="B16" s="357" t="s">
        <v>4797</v>
      </c>
      <c r="C16" s="343">
        <f>58861+1569526+146416+18577</f>
        <v>1793380</v>
      </c>
      <c r="D16" s="343">
        <f>141453+162000+135209+52763</f>
        <v>491425</v>
      </c>
      <c r="E16" s="333">
        <f>SUMIF('Unos prihoda i primitaka'!$C$3:$C$501,$A16,'Unos prihoda i primitaka'!G$3:G$501)</f>
        <v>418512</v>
      </c>
      <c r="F16" s="333">
        <f>SUMIF('Unos prihoda i primitaka'!$C$3:$C$501,$A16,'Unos prihoda i primitaka'!H$3:H$501)</f>
        <v>301910</v>
      </c>
      <c r="G16" s="333">
        <f>SUMIF('Unos prihoda i primitaka'!$C$3:$C$501,$A16,'Unos prihoda i primitaka'!I$3:I$501)</f>
        <v>36156</v>
      </c>
      <c r="H16" s="315" t="str">
        <f>'OPĆI DIO'!$C$1</f>
        <v>2452 SVEUČILIŠTE J. J. STROSSMAYERA U OSIJEKU</v>
      </c>
    </row>
    <row r="17" spans="1:8">
      <c r="A17" s="358">
        <v>552</v>
      </c>
      <c r="B17" s="357" t="s">
        <v>4798</v>
      </c>
      <c r="C17" s="343">
        <v>0</v>
      </c>
      <c r="D17" s="343">
        <v>0</v>
      </c>
      <c r="E17" s="333">
        <f>SUMIF('Unos prihoda i primitaka'!$C$3:$C$501,$A17,'Unos prihoda i primitaka'!G$3:G$501)</f>
        <v>0</v>
      </c>
      <c r="F17" s="333">
        <f>SUMIF('Unos prihoda i primitaka'!$C$3:$C$501,$A17,'Unos prihoda i primitaka'!H$3:H$501)</f>
        <v>0</v>
      </c>
      <c r="G17" s="333">
        <f>SUMIF('Unos prihoda i primitaka'!$C$3:$C$501,$A17,'Unos prihoda i primitaka'!I$3:I$501)</f>
        <v>0</v>
      </c>
      <c r="H17" s="315" t="str">
        <f>'OPĆI DIO'!$C$1</f>
        <v>2452 SVEUČILIŠTE J. J. STROSSMAYERA U OSIJEKU</v>
      </c>
    </row>
    <row r="18" spans="1:8">
      <c r="A18" s="358">
        <v>559</v>
      </c>
      <c r="B18" s="357" t="s">
        <v>4799</v>
      </c>
      <c r="C18" s="343">
        <v>0</v>
      </c>
      <c r="D18" s="343">
        <v>0</v>
      </c>
      <c r="E18" s="333">
        <f>SUMIF('Unos prihoda i primitaka'!$C$3:$C$501,$A18,'Unos prihoda i primitaka'!G$3:G$501)</f>
        <v>0</v>
      </c>
      <c r="F18" s="333">
        <f>SUMIF('Unos prihoda i primitaka'!$C$3:$C$501,$A18,'Unos prihoda i primitaka'!H$3:H$501)</f>
        <v>0</v>
      </c>
      <c r="G18" s="333">
        <f>SUMIF('Unos prihoda i primitaka'!$C$3:$C$501,$A18,'Unos prihoda i primitaka'!I$3:I$501)</f>
        <v>0</v>
      </c>
      <c r="H18" s="315" t="str">
        <f>'OPĆI DIO'!$C$1</f>
        <v>2452 SVEUČILIŠTE J. J. STROSSMAYERA U OSIJEKU</v>
      </c>
    </row>
    <row r="19" spans="1:8">
      <c r="A19" s="358">
        <v>561</v>
      </c>
      <c r="B19" s="357" t="s">
        <v>4800</v>
      </c>
      <c r="C19" s="343">
        <v>0</v>
      </c>
      <c r="D19" s="343">
        <v>0</v>
      </c>
      <c r="E19" s="333">
        <f>SUMIF('Unos prihoda i primitaka'!$C$3:$C$501,$A19,'Unos prihoda i primitaka'!G$3:G$501)</f>
        <v>0</v>
      </c>
      <c r="F19" s="333">
        <f>SUMIF('Unos prihoda i primitaka'!$C$3:$C$501,$A19,'Unos prihoda i primitaka'!H$3:H$501)</f>
        <v>0</v>
      </c>
      <c r="G19" s="333">
        <f>SUMIF('Unos prihoda i primitaka'!$C$3:$C$501,$A19,'Unos prihoda i primitaka'!I$3:I$501)</f>
        <v>0</v>
      </c>
      <c r="H19" s="315" t="str">
        <f>'OPĆI DIO'!$C$1</f>
        <v>2452 SVEUČILIŠTE J. J. STROSSMAYERA U OSIJEKU</v>
      </c>
    </row>
    <row r="20" spans="1:8" ht="18" customHeight="1">
      <c r="A20" s="358">
        <v>563</v>
      </c>
      <c r="B20" s="357" t="s">
        <v>4801</v>
      </c>
      <c r="C20" s="343">
        <f>80242+553307</f>
        <v>633549</v>
      </c>
      <c r="D20" s="343">
        <v>2689723</v>
      </c>
      <c r="E20" s="333">
        <f>SUMIF('Unos prihoda i primitaka'!$C$3:$C$501,$A20,'Unos prihoda i primitaka'!G$3:G$501)</f>
        <v>1466666</v>
      </c>
      <c r="F20" s="333">
        <f>SUMIF('Unos prihoda i primitaka'!$C$3:$C$501,$A20,'Unos prihoda i primitaka'!H$3:H$501)</f>
        <v>0</v>
      </c>
      <c r="G20" s="333">
        <f>SUMIF('Unos prihoda i primitaka'!$C$3:$C$501,$A20,'Unos prihoda i primitaka'!I$3:I$501)</f>
        <v>0</v>
      </c>
      <c r="H20" s="315" t="str">
        <f>'OPĆI DIO'!$C$1</f>
        <v>2452 SVEUČILIŠTE J. J. STROSSMAYERA U OSIJEKU</v>
      </c>
    </row>
    <row r="21" spans="1:8" ht="30">
      <c r="A21" s="358">
        <v>573</v>
      </c>
      <c r="B21" s="357" t="s">
        <v>1020</v>
      </c>
      <c r="C21" s="343">
        <v>0</v>
      </c>
      <c r="D21" s="343">
        <v>0</v>
      </c>
      <c r="E21" s="333">
        <f>SUMIF('Unos prihoda i primitaka'!$C$3:$C$501,$A21,'Unos prihoda i primitaka'!G$3:G$501)</f>
        <v>0</v>
      </c>
      <c r="F21" s="333">
        <f>SUMIF('Unos prihoda i primitaka'!$C$3:$C$501,$A21,'Unos prihoda i primitaka'!H$3:H$501)</f>
        <v>0</v>
      </c>
      <c r="G21" s="333">
        <f>SUMIF('Unos prihoda i primitaka'!$C$3:$C$501,$A21,'Unos prihoda i primitaka'!I$3:I$501)</f>
        <v>0</v>
      </c>
      <c r="H21" s="315" t="str">
        <f>'OPĆI DIO'!$C$1</f>
        <v>2452 SVEUČILIŠTE J. J. STROSSMAYERA U OSIJEKU</v>
      </c>
    </row>
    <row r="22" spans="1:8">
      <c r="A22" s="358">
        <v>575</v>
      </c>
      <c r="B22" s="357" t="s">
        <v>1021</v>
      </c>
      <c r="C22" s="343">
        <v>0</v>
      </c>
      <c r="D22" s="343">
        <v>0</v>
      </c>
      <c r="E22" s="333">
        <f>SUMIF('Unos prihoda i primitaka'!$C$3:$C$501,$A22,'Unos prihoda i primitaka'!G$3:G$501)</f>
        <v>0</v>
      </c>
      <c r="F22" s="333">
        <f>SUMIF('Unos prihoda i primitaka'!$C$3:$C$501,$A22,'Unos prihoda i primitaka'!H$3:H$501)</f>
        <v>0</v>
      </c>
      <c r="G22" s="333">
        <f>SUMIF('Unos prihoda i primitaka'!$C$3:$C$501,$A22,'Unos prihoda i primitaka'!I$3:I$501)</f>
        <v>0</v>
      </c>
      <c r="H22" s="315" t="str">
        <f>'OPĆI DIO'!$C$1</f>
        <v>2452 SVEUČILIŠTE J. J. STROSSMAYERA U OSIJEKU</v>
      </c>
    </row>
    <row r="23" spans="1:8" ht="30">
      <c r="A23" s="358">
        <v>576</v>
      </c>
      <c r="B23" s="357" t="s">
        <v>4819</v>
      </c>
      <c r="C23" s="343">
        <v>0</v>
      </c>
      <c r="D23" s="343">
        <v>0</v>
      </c>
      <c r="E23" s="333">
        <f>SUMIF('Unos prihoda i primitaka'!$C$3:$C$501,$A23,'Unos prihoda i primitaka'!G$3:G$501)</f>
        <v>0</v>
      </c>
      <c r="F23" s="333">
        <f>SUMIF('Unos prihoda i primitaka'!$C$3:$C$501,$A23,'Unos prihoda i primitaka'!H$3:H$501)</f>
        <v>0</v>
      </c>
      <c r="G23" s="333">
        <f>SUMIF('Unos prihoda i primitaka'!$C$3:$C$501,$A23,'Unos prihoda i primitaka'!I$3:I$501)</f>
        <v>0</v>
      </c>
      <c r="H23" s="315" t="str">
        <f>'OPĆI DIO'!$C$1</f>
        <v>2452 SVEUČILIŠTE J. J. STROSSMAYERA U OSIJEKU</v>
      </c>
    </row>
    <row r="24" spans="1:8">
      <c r="A24" s="358">
        <v>581</v>
      </c>
      <c r="B24" s="357" t="s">
        <v>4802</v>
      </c>
      <c r="C24" s="343">
        <v>0</v>
      </c>
      <c r="D24" s="343">
        <v>0</v>
      </c>
      <c r="E24" s="333">
        <f>SUMIF('Unos prihoda i primitaka'!$C$3:$C$501,$A24,'Unos prihoda i primitaka'!G$3:G$501)</f>
        <v>0</v>
      </c>
      <c r="F24" s="333">
        <f>SUMIF('Unos prihoda i primitaka'!$C$3:$C$501,$A24,'Unos prihoda i primitaka'!H$3:H$501)</f>
        <v>0</v>
      </c>
      <c r="G24" s="333">
        <f>SUMIF('Unos prihoda i primitaka'!$C$3:$C$501,$A24,'Unos prihoda i primitaka'!I$3:I$501)</f>
        <v>0</v>
      </c>
      <c r="H24" s="315" t="str">
        <f>'OPĆI DIO'!$C$1</f>
        <v>2452 SVEUČILIŠTE J. J. STROSSMAYERA U OSIJEKU</v>
      </c>
    </row>
    <row r="25" spans="1:8" s="341" customFormat="1">
      <c r="A25" s="360">
        <v>6</v>
      </c>
      <c r="B25" s="354" t="s">
        <v>4803</v>
      </c>
      <c r="C25" s="309">
        <f>SUM(C26:C27)</f>
        <v>11768</v>
      </c>
      <c r="D25" s="309">
        <f t="shared" ref="D25:G25" si="3">SUM(D26:D27)</f>
        <v>0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2452 SVEUČILIŠTE J. J. STROSSMAYERA U OSIJEKU</v>
      </c>
    </row>
    <row r="26" spans="1:8">
      <c r="A26" s="358">
        <v>61</v>
      </c>
      <c r="B26" s="357" t="s">
        <v>4804</v>
      </c>
      <c r="C26" s="343">
        <f>3053+8715</f>
        <v>11768</v>
      </c>
      <c r="D26" s="343">
        <v>0</v>
      </c>
      <c r="E26" s="333">
        <f>SUMIF('Unos prihoda i primitaka'!$C$3:$C$501,$A26,'Unos prihoda i primitaka'!G$3:G$501)</f>
        <v>0</v>
      </c>
      <c r="F26" s="333">
        <f>SUMIF('Unos prihoda i primitaka'!$C$3:$C$501,$A26,'Unos prihoda i primitaka'!H$3:H$501)</f>
        <v>0</v>
      </c>
      <c r="G26" s="333">
        <f>SUMIF('Unos prihoda i primitaka'!$C$3:$C$501,$A26,'Unos prihoda i primitaka'!I$3:I$501)</f>
        <v>0</v>
      </c>
      <c r="H26" s="315" t="str">
        <f>'OPĆI DIO'!$C$1</f>
        <v>2452 SVEUČILIŠTE J. J. STROSSMAYERA U OSIJEKU</v>
      </c>
    </row>
    <row r="27" spans="1:8">
      <c r="A27" s="358">
        <v>63</v>
      </c>
      <c r="B27" s="357" t="s">
        <v>4805</v>
      </c>
      <c r="C27" s="343">
        <v>0</v>
      </c>
      <c r="D27" s="343">
        <v>0</v>
      </c>
      <c r="E27" s="333">
        <f>SUMIF('Unos prihoda i primitaka'!$C$3:$C$501,$A27,'Unos prihoda i primitaka'!G$3:G$501)</f>
        <v>0</v>
      </c>
      <c r="F27" s="333">
        <f>SUMIF('Unos prihoda i primitaka'!$C$3:$C$501,$A27,'Unos prihoda i primitaka'!H$3:H$501)</f>
        <v>0</v>
      </c>
      <c r="G27" s="333">
        <f>SUMIF('Unos prihoda i primitaka'!$C$3:$C$501,$A27,'Unos prihoda i primitaka'!I$3:I$501)</f>
        <v>0</v>
      </c>
      <c r="H27" s="315" t="str">
        <f>'OPĆI DIO'!$C$1</f>
        <v>2452 SVEUČILIŠTE J. J. STROSSMAYERA U OSIJEKU</v>
      </c>
    </row>
    <row r="28" spans="1:8" s="341" customFormat="1" ht="33.75" customHeight="1">
      <c r="A28" s="360">
        <v>7</v>
      </c>
      <c r="B28" s="354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2452 SVEUČILIŠTE J. J. STROSSMAYERA U OSIJEKU</v>
      </c>
    </row>
    <row r="29" spans="1:8" ht="30">
      <c r="A29" s="358">
        <v>71</v>
      </c>
      <c r="B29" s="357" t="s">
        <v>4807</v>
      </c>
      <c r="C29" s="343"/>
      <c r="D29" s="343">
        <v>0</v>
      </c>
      <c r="E29" s="333">
        <f>SUMIF('Unos prihoda i primitaka'!$C$3:$C$501,$A29,'Unos prihoda i primitaka'!G$3:G$501)</f>
        <v>0</v>
      </c>
      <c r="F29" s="333">
        <f>SUMIF('Unos prihoda i primitaka'!$C$3:$C$501,$A29,'Unos prihoda i primitaka'!H$3:H$501)</f>
        <v>0</v>
      </c>
      <c r="G29" s="333">
        <f>SUMIF('Unos prihoda i primitaka'!$C$3:$C$501,$A29,'Unos prihoda i primitaka'!I$3:I$501)</f>
        <v>0</v>
      </c>
      <c r="H29" s="315" t="str">
        <f>'OPĆI DIO'!$C$1</f>
        <v>2452 SVEUČILIŠTE J. J. STROSSMAYERA U OSIJEKU</v>
      </c>
    </row>
    <row r="30" spans="1:8" ht="24" customHeight="1">
      <c r="A30" s="358">
        <v>0</v>
      </c>
      <c r="B30" s="353" t="s">
        <v>251</v>
      </c>
      <c r="C30" s="310">
        <f>+C31+C34+C36+C39+C50+C53</f>
        <v>11273537.405003648</v>
      </c>
      <c r="D30" s="310">
        <f>+D31+D34+D36+D39+D50+D53</f>
        <v>12952261</v>
      </c>
      <c r="E30" s="310">
        <f>+E31+E34+E36+E39+E50+E53</f>
        <v>10894272</v>
      </c>
      <c r="F30" s="310">
        <f>+F31+F34+F36+F39+F50+F53</f>
        <v>9807670</v>
      </c>
      <c r="G30" s="310">
        <f>+G31+G34+G36+G39+G50+G53</f>
        <v>9502596</v>
      </c>
      <c r="H30" s="315" t="str">
        <f>'OPĆI DIO'!$C$1</f>
        <v>2452 SVEUČILIŠTE J. J. STROSSMAYERA U OSIJEKU</v>
      </c>
    </row>
    <row r="31" spans="1:8" s="341" customFormat="1">
      <c r="A31" s="360">
        <v>1</v>
      </c>
      <c r="B31" s="354" t="s">
        <v>4787</v>
      </c>
      <c r="C31" s="309">
        <f>+C32+C33</f>
        <v>7162652.3606078709</v>
      </c>
      <c r="D31" s="309">
        <f t="shared" ref="D31" si="5">+D32+D33</f>
        <v>8329190</v>
      </c>
      <c r="E31" s="309">
        <f t="shared" ref="E31" si="6">+E32+E33</f>
        <v>8243699</v>
      </c>
      <c r="F31" s="309">
        <f t="shared" ref="F31" si="7">+F32+F33</f>
        <v>8163799</v>
      </c>
      <c r="G31" s="309">
        <f t="shared" ref="G31" si="8">+G32+G33</f>
        <v>8190417</v>
      </c>
      <c r="H31" s="315" t="str">
        <f>'OPĆI DIO'!$C$1</f>
        <v>2452 SVEUČILIŠTE J. J. STROSSMAYERA U OSIJEKU</v>
      </c>
    </row>
    <row r="32" spans="1:8">
      <c r="A32" s="358">
        <v>11</v>
      </c>
      <c r="B32" s="355" t="s">
        <v>4788</v>
      </c>
      <c r="C32" s="343">
        <f>3219908+1025373+1858803+952154</f>
        <v>7056238</v>
      </c>
      <c r="D32" s="343">
        <f>1046374+4387971+1921876+861174</f>
        <v>8217395</v>
      </c>
      <c r="E32" s="335">
        <f>SUMIF('Unos rashoda i izdataka'!$Q$3:$Q$501,$A32,'Unos rashoda i izdataka'!J$3:J$501)+SUMIF('Unos rashoda P4'!$A$3:$A$501,$A32,'Unos rashoda P4'!H$3:H$501)</f>
        <v>8132851</v>
      </c>
      <c r="F32" s="335">
        <f>SUMIF('Unos rashoda i izdataka'!$Q$3:$Q$501,$A32,'Unos rashoda i izdataka'!K$3:K$501)+SUMIF('Unos rashoda P4'!$A$3:$A$501,$A32,'Unos rashoda P4'!I$3:I$501)</f>
        <v>8163799</v>
      </c>
      <c r="G32" s="335">
        <f>SUMIF('Unos rashoda i izdataka'!$Q$3:$Q$501,$A32,'Unos rashoda i izdataka'!L$3:L$501)+SUMIF('Unos rashoda P4'!$A$3:$A$501,$A32,'Unos rashoda P4'!J$3:J$501)</f>
        <v>8190417</v>
      </c>
      <c r="H32" s="315" t="str">
        <f>'OPĆI DIO'!$C$1</f>
        <v>2452 SVEUČILIŠTE J. J. STROSSMAYERA U OSIJEKU</v>
      </c>
    </row>
    <row r="33" spans="1:8">
      <c r="A33" s="358">
        <v>12</v>
      </c>
      <c r="B33" s="356" t="s">
        <v>4789</v>
      </c>
      <c r="C33" s="343">
        <f>801779/7.5345</f>
        <v>106414.36060787046</v>
      </c>
      <c r="D33" s="343">
        <v>111795</v>
      </c>
      <c r="E33" s="335">
        <f>SUMIF('Unos rashoda i izdataka'!$Q$3:$Q$501,$A33,'Unos rashoda i izdataka'!J$3:J$501)+SUMIF('Unos rashoda P4'!$A$3:$A$501,$A33,'Unos rashoda P4'!H$3:H$501)</f>
        <v>110848</v>
      </c>
      <c r="F33" s="335">
        <f>SUMIF('Unos rashoda i izdataka'!$Q$3:$Q$501,$A33,'Unos rashoda i izdataka'!K$3:K$501)+SUMIF('Unos rashoda P4'!$A$3:$A$501,$A33,'Unos rashoda P4'!I$3:I$501)</f>
        <v>0</v>
      </c>
      <c r="G33" s="335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2452 SVEUČILIŠTE J. J. STROSSMAYERA U OSIJEKU</v>
      </c>
    </row>
    <row r="34" spans="1:8" s="341" customFormat="1">
      <c r="A34" s="360">
        <v>3</v>
      </c>
      <c r="B34" s="354" t="s">
        <v>4790</v>
      </c>
      <c r="C34" s="309">
        <f>+C35</f>
        <v>263294</v>
      </c>
      <c r="D34" s="309">
        <f t="shared" ref="D34:G34" si="9">+D35</f>
        <v>299874</v>
      </c>
      <c r="E34" s="309">
        <f t="shared" si="9"/>
        <v>312570</v>
      </c>
      <c r="F34" s="309">
        <f t="shared" si="9"/>
        <v>283446</v>
      </c>
      <c r="G34" s="309">
        <f t="shared" si="9"/>
        <v>282450</v>
      </c>
      <c r="H34" s="315" t="str">
        <f>'OPĆI DIO'!$C$1</f>
        <v>2452 SVEUČILIŠTE J. J. STROSSMAYERA U OSIJEKU</v>
      </c>
    </row>
    <row r="35" spans="1:8">
      <c r="A35" s="361">
        <v>31</v>
      </c>
      <c r="B35" s="357" t="s">
        <v>4791</v>
      </c>
      <c r="C35" s="343">
        <f>90815+602+170432+1445</f>
        <v>263294</v>
      </c>
      <c r="D35" s="343">
        <f>741+93691+196427+9015</f>
        <v>299874</v>
      </c>
      <c r="E35" s="335">
        <f>SUMIF('Unos rashoda i izdataka'!$Q$3:$Q$501,$A35,'Unos rashoda i izdataka'!J$3:J$501)+SUMIF('Unos rashoda P4'!$A$3:$A$501,$A35,'Unos rashoda P4'!H$3:H$501)-'B.2 RAČUN FINANC IF'!E13</f>
        <v>312570</v>
      </c>
      <c r="F35" s="335">
        <f>SUMIF('Unos rashoda i izdataka'!$Q$3:$Q$501,$A35,'Unos rashoda i izdataka'!K$3:K$501)+SUMIF('Unos rashoda P4'!$A$3:$A$501,$A35,'Unos rashoda P4'!I$3:I$501)-'B.2 RAČUN FINANC IF'!F13</f>
        <v>283446</v>
      </c>
      <c r="G35" s="335">
        <f>SUMIF('Unos rashoda i izdataka'!$Q$3:$Q$501,$A35,'Unos rashoda i izdataka'!L$3:L$501)+SUMIF('Unos rashoda P4'!$A$3:$A$501,$A35,'Unos rashoda P4'!J$3:J$501)-'B.2 RAČUN FINANC IF'!G13</f>
        <v>282450</v>
      </c>
      <c r="H35" s="315" t="str">
        <f>'OPĆI DIO'!$C$1</f>
        <v>2452 SVEUČILIŠTE J. J. STROSSMAYERA U OSIJEKU</v>
      </c>
    </row>
    <row r="36" spans="1:8" s="341" customFormat="1">
      <c r="A36" s="360">
        <v>4</v>
      </c>
      <c r="B36" s="354" t="s">
        <v>4792</v>
      </c>
      <c r="C36" s="309">
        <f>+C37+C38</f>
        <v>1014624</v>
      </c>
      <c r="D36" s="309">
        <f t="shared" ref="D36:G36" si="10">+D37+D38</f>
        <v>914275</v>
      </c>
      <c r="E36" s="309">
        <f>+E37+E38</f>
        <v>1029270</v>
      </c>
      <c r="F36" s="309">
        <f t="shared" si="10"/>
        <v>928425</v>
      </c>
      <c r="G36" s="309">
        <f t="shared" si="10"/>
        <v>830829</v>
      </c>
      <c r="H36" s="315" t="str">
        <f>'OPĆI DIO'!$C$1</f>
        <v>2452 SVEUČILIŠTE J. J. STROSSMAYERA U OSIJEKU</v>
      </c>
    </row>
    <row r="37" spans="1:8">
      <c r="A37" s="358">
        <v>41</v>
      </c>
      <c r="B37" s="357" t="s">
        <v>4793</v>
      </c>
      <c r="C37" s="343">
        <v>0</v>
      </c>
      <c r="D37" s="343">
        <v>0</v>
      </c>
      <c r="E37" s="335">
        <f>SUMIF('Unos rashoda i izdataka'!$Q$3:$Q$501,$A37,'Unos rashoda i izdataka'!J$3:J$501)+SUMIF('Unos rashoda P4'!$A$3:$A$501,$A37,'Unos rashoda P4'!H$3:H$501)</f>
        <v>0</v>
      </c>
      <c r="F37" s="335">
        <f>SUMIF('Unos rashoda i izdataka'!$Q$3:$Q$501,$A37,'Unos rashoda i izdataka'!K$3:K$501)+SUMIF('Unos rashoda P4'!$A$3:$A$501,$A37,'Unos rashoda P4'!I$3:I$501)</f>
        <v>0</v>
      </c>
      <c r="G37" s="335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2452 SVEUČILIŠTE J. J. STROSSMAYERA U OSIJEKU</v>
      </c>
    </row>
    <row r="38" spans="1:8">
      <c r="A38" s="358">
        <v>43</v>
      </c>
      <c r="B38" s="357" t="s">
        <v>4794</v>
      </c>
      <c r="C38" s="343">
        <f>739470+56138+176154+42862</f>
        <v>1014624</v>
      </c>
      <c r="D38" s="343">
        <f>52193+724808+117274+20000</f>
        <v>914275</v>
      </c>
      <c r="E38" s="335">
        <f>SUMIF('Unos rashoda i izdataka'!$Q$3:$Q$501,$A38,'Unos rashoda i izdataka'!J$3:J$501)+SUMIF('Unos rashoda P4'!$A$3:$A$501,$A38,'Unos rashoda P4'!H$3:H$501)</f>
        <v>1029270</v>
      </c>
      <c r="F38" s="335">
        <f>SUMIF('Unos rashoda i izdataka'!$Q$3:$Q$501,$A38,'Unos rashoda i izdataka'!K$3:K$501)+SUMIF('Unos rashoda P4'!$A$3:$A$501,$A38,'Unos rashoda P4'!I$3:I$501)</f>
        <v>928425</v>
      </c>
      <c r="G38" s="335">
        <f>SUMIF('Unos rashoda i izdataka'!$Q$3:$Q$501,$A38,'Unos rashoda i izdataka'!L$3:L$501)+SUMIF('Unos rashoda P4'!$A$3:$A$501,$A38,'Unos rashoda P4'!J$3:J$501)</f>
        <v>830829</v>
      </c>
      <c r="H38" s="315" t="str">
        <f>'OPĆI DIO'!$C$1</f>
        <v>2452 SVEUČILIŠTE J. J. STROSSMAYERA U OSIJEKU</v>
      </c>
    </row>
    <row r="39" spans="1:8" s="341" customFormat="1">
      <c r="A39" s="360">
        <v>5</v>
      </c>
      <c r="B39" s="354" t="s">
        <v>4795</v>
      </c>
      <c r="C39" s="309">
        <f>SUM(C40:C49)</f>
        <v>2828267.0443957793</v>
      </c>
      <c r="D39" s="309">
        <f>SUM(D40:D49)</f>
        <v>3408922</v>
      </c>
      <c r="E39" s="309">
        <f>SUM(E40:E49)</f>
        <v>1308733</v>
      </c>
      <c r="F39" s="309">
        <f>SUM(F40:F49)</f>
        <v>432000</v>
      </c>
      <c r="G39" s="309">
        <f>SUM(G40:G49)</f>
        <v>198900</v>
      </c>
      <c r="H39" s="315" t="str">
        <f>'OPĆI DIO'!$C$1</f>
        <v>2452 SVEUČILIŠTE J. J. STROSSMAYERA U OSIJEKU</v>
      </c>
    </row>
    <row r="40" spans="1:8">
      <c r="A40" s="358">
        <v>51</v>
      </c>
      <c r="B40" s="357" t="s">
        <v>4796</v>
      </c>
      <c r="C40" s="343">
        <f>98+2316</f>
        <v>2414</v>
      </c>
      <c r="D40" s="343">
        <v>0</v>
      </c>
      <c r="E40" s="335">
        <f>SUMIF('Unos rashoda i izdataka'!$Q$3:$Q$501,$A40,'Unos rashoda i izdataka'!J$3:J$501)+SUMIF('Unos rashoda P4'!$A$3:$A$501,$A40,'Unos rashoda P4'!H$3:H$501)</f>
        <v>20000</v>
      </c>
      <c r="F40" s="335">
        <f>SUMIF('Unos rashoda i izdataka'!$Q$3:$Q$501,$A40,'Unos rashoda i izdataka'!K$3:K$501)+SUMIF('Unos rashoda P4'!$A$3:$A$501,$A40,'Unos rashoda P4'!I$3:I$501)</f>
        <v>20000</v>
      </c>
      <c r="G40" s="335">
        <f>SUMIF('Unos rashoda i izdataka'!$Q$3:$Q$501,$A40,'Unos rashoda i izdataka'!L$3:L$501)+SUMIF('Unos rashoda P4'!$A$3:$A$501,$A40,'Unos rashoda P4'!J$3:J$501)</f>
        <v>20000</v>
      </c>
      <c r="H40" s="315" t="str">
        <f>'OPĆI DIO'!$C$1</f>
        <v>2452 SVEUČILIŠTE J. J. STROSSMAYERA U OSIJEKU</v>
      </c>
    </row>
    <row r="41" spans="1:8">
      <c r="A41" s="358">
        <v>52</v>
      </c>
      <c r="B41" s="357" t="s">
        <v>4797</v>
      </c>
      <c r="C41" s="343">
        <f>1393086+92446+151663+3238</f>
        <v>1640433</v>
      </c>
      <c r="D41" s="343">
        <f>113082+1121684+108563+52763</f>
        <v>1396092</v>
      </c>
      <c r="E41" s="335">
        <f>SUMIF('Unos rashoda i izdataka'!$Q$3:$Q$501,$A41,'Unos rashoda i izdataka'!J$3:J$501)+SUMIF('Unos rashoda P4'!$A$3:$A$501,$A41,'Unos rashoda P4'!H$3:H$501)</f>
        <v>660593</v>
      </c>
      <c r="F41" s="335">
        <f>SUMIF('Unos rashoda i izdataka'!$Q$3:$Q$501,$A41,'Unos rashoda i izdataka'!K$3:K$501)+SUMIF('Unos rashoda P4'!$A$3:$A$501,$A41,'Unos rashoda P4'!I$3:I$501)</f>
        <v>412000</v>
      </c>
      <c r="G41" s="335">
        <f>SUMIF('Unos rashoda i izdataka'!$Q$3:$Q$501,$A41,'Unos rashoda i izdataka'!L$3:L$501)+SUMIF('Unos rashoda P4'!$A$3:$A$501,$A41,'Unos rashoda P4'!J$3:J$501)</f>
        <v>178900</v>
      </c>
      <c r="H41" s="315" t="str">
        <f>'OPĆI DIO'!$C$1</f>
        <v>2452 SVEUČILIŠTE J. J. STROSSMAYERA U OSIJEKU</v>
      </c>
    </row>
    <row r="42" spans="1:8">
      <c r="A42" s="358">
        <v>552</v>
      </c>
      <c r="B42" s="357" t="s">
        <v>4798</v>
      </c>
      <c r="C42" s="343">
        <v>0</v>
      </c>
      <c r="D42" s="343">
        <v>0</v>
      </c>
      <c r="E42" s="335">
        <f>SUMIF('Unos rashoda i izdataka'!$Q$3:$Q$501,$A42,'Unos rashoda i izdataka'!J$3:J$501)+SUMIF('Unos rashoda P4'!$A$3:$A$501,$A42,'Unos rashoda P4'!H$3:H$501)</f>
        <v>0</v>
      </c>
      <c r="F42" s="335">
        <f>SUMIF('Unos rashoda i izdataka'!$Q$3:$Q$501,$A42,'Unos rashoda i izdataka'!K$3:K$501)+SUMIF('Unos rashoda P4'!$A$3:$A$501,$A42,'Unos rashoda P4'!I$3:I$501)</f>
        <v>0</v>
      </c>
      <c r="G42" s="335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2452 SVEUČILIŠTE J. J. STROSSMAYERA U OSIJEKU</v>
      </c>
    </row>
    <row r="43" spans="1:8">
      <c r="A43" s="358">
        <v>559</v>
      </c>
      <c r="B43" s="357" t="s">
        <v>4799</v>
      </c>
      <c r="C43" s="343">
        <v>0</v>
      </c>
      <c r="D43" s="343">
        <v>0</v>
      </c>
      <c r="E43" s="335">
        <f>SUMIF('Unos rashoda i izdataka'!$Q$3:$Q$501,$A43,'Unos rashoda i izdataka'!J$3:J$501)+SUMIF('Unos rashoda P4'!$A$3:$A$501,$A43,'Unos rashoda P4'!H$3:H$501)</f>
        <v>0</v>
      </c>
      <c r="F43" s="335">
        <f>SUMIF('Unos rashoda i izdataka'!$Q$3:$Q$501,$A43,'Unos rashoda i izdataka'!K$3:K$501)+SUMIF('Unos rashoda P4'!$A$3:$A$501,$A43,'Unos rashoda P4'!I$3:I$501)</f>
        <v>0</v>
      </c>
      <c r="G43" s="335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2452 SVEUČILIŠTE J. J. STROSSMAYERA U OSIJEKU</v>
      </c>
    </row>
    <row r="44" spans="1:8">
      <c r="A44" s="358">
        <v>561</v>
      </c>
      <c r="B44" s="357" t="s">
        <v>4800</v>
      </c>
      <c r="C44" s="343">
        <v>0</v>
      </c>
      <c r="D44" s="343">
        <v>0</v>
      </c>
      <c r="E44" s="335">
        <f>SUMIF('Unos rashoda i izdataka'!$Q$3:$Q$501,$A44,'Unos rashoda i izdataka'!J$3:J$501)+SUMIF('Unos rashoda P4'!$A$3:$A$501,$A44,'Unos rashoda P4'!H$3:H$501)</f>
        <v>0</v>
      </c>
      <c r="F44" s="335">
        <f>SUMIF('Unos rashoda i izdataka'!$Q$3:$Q$501,$A44,'Unos rashoda i izdataka'!K$3:K$501)+SUMIF('Unos rashoda P4'!$A$3:$A$501,$A44,'Unos rashoda P4'!I$3:I$501)</f>
        <v>0</v>
      </c>
      <c r="G44" s="335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2452 SVEUČILIŠTE J. J. STROSSMAYERA U OSIJEKU</v>
      </c>
    </row>
    <row r="45" spans="1:8" ht="20.25" customHeight="1">
      <c r="A45" s="358">
        <v>563</v>
      </c>
      <c r="B45" s="357" t="s">
        <v>4801</v>
      </c>
      <c r="C45" s="343">
        <f>(9731553/7.5345)-106179</f>
        <v>1185420.0443957793</v>
      </c>
      <c r="D45" s="343">
        <v>2012830</v>
      </c>
      <c r="E45" s="335">
        <f>SUMIF('Unos rashoda i izdataka'!$Q$3:$Q$501,$A45,'Unos rashoda i izdataka'!J$3:J$501)+SUMIF('Unos rashoda P4'!$A$3:$A$501,$A45,'Unos rashoda P4'!H$3:H$501)</f>
        <v>628140</v>
      </c>
      <c r="F45" s="335">
        <f>SUMIF('Unos rashoda i izdataka'!$Q$3:$Q$501,$A45,'Unos rashoda i izdataka'!K$3:K$501)+SUMIF('Unos rashoda P4'!$A$3:$A$501,$A45,'Unos rashoda P4'!I$3:I$501)</f>
        <v>0</v>
      </c>
      <c r="G45" s="335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2452 SVEUČILIŠTE J. J. STROSSMAYERA U OSIJEKU</v>
      </c>
    </row>
    <row r="46" spans="1:8" ht="30">
      <c r="A46" s="358">
        <v>573</v>
      </c>
      <c r="B46" s="357" t="s">
        <v>1020</v>
      </c>
      <c r="C46" s="343">
        <v>0</v>
      </c>
      <c r="D46" s="343">
        <v>0</v>
      </c>
      <c r="E46" s="335">
        <f>SUMIF('Unos rashoda i izdataka'!$Q$3:$Q$501,$A46,'Unos rashoda i izdataka'!J$3:J$501)+SUMIF('Unos rashoda P4'!$A$3:$A$501,$A46,'Unos rashoda P4'!H$3:H$501)</f>
        <v>0</v>
      </c>
      <c r="F46" s="335">
        <f>SUMIF('Unos rashoda i izdataka'!$Q$3:$Q$501,$A46,'Unos rashoda i izdataka'!K$3:K$501)+SUMIF('Unos rashoda P4'!$A$3:$A$501,$A46,'Unos rashoda P4'!I$3:I$501)</f>
        <v>0</v>
      </c>
      <c r="G46" s="335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2452 SVEUČILIŠTE J. J. STROSSMAYERA U OSIJEKU</v>
      </c>
    </row>
    <row r="47" spans="1:8">
      <c r="A47" s="358">
        <v>575</v>
      </c>
      <c r="B47" s="357" t="s">
        <v>1021</v>
      </c>
      <c r="C47" s="343">
        <v>0</v>
      </c>
      <c r="D47" s="343">
        <v>0</v>
      </c>
      <c r="E47" s="335">
        <f>SUMIF('Unos rashoda i izdataka'!$Q$3:$Q$501,$A47,'Unos rashoda i izdataka'!J$3:J$501)+SUMIF('Unos rashoda P4'!$A$3:$A$501,$A47,'Unos rashoda P4'!H$3:H$501)</f>
        <v>0</v>
      </c>
      <c r="F47" s="335">
        <f>SUMIF('Unos rashoda i izdataka'!$Q$3:$Q$501,$A47,'Unos rashoda i izdataka'!K$3:K$501)+SUMIF('Unos rashoda P4'!$A$3:$A$501,$A47,'Unos rashoda P4'!I$3:I$501)</f>
        <v>0</v>
      </c>
      <c r="G47" s="335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2452 SVEUČILIŠTE J. J. STROSSMAYERA U OSIJEKU</v>
      </c>
    </row>
    <row r="48" spans="1:8" ht="30">
      <c r="A48" s="362">
        <v>576</v>
      </c>
      <c r="B48" s="357" t="s">
        <v>4819</v>
      </c>
      <c r="C48" s="343">
        <v>0</v>
      </c>
      <c r="D48" s="343">
        <v>0</v>
      </c>
      <c r="E48" s="335">
        <f>SUMIF('Unos rashoda i izdataka'!$Q$3:$Q$501,$A48,'Unos rashoda i izdataka'!J$3:J$501)+SUMIF('Unos rashoda P4'!$A$3:$A$501,$A48,'Unos rashoda P4'!H$3:H$501)</f>
        <v>0</v>
      </c>
      <c r="F48" s="335">
        <f>SUMIF('Unos rashoda i izdataka'!$Q$3:$Q$501,$A48,'Unos rashoda i izdataka'!K$3:K$501)+SUMIF('Unos rashoda P4'!$A$3:$A$501,$A48,'Unos rashoda P4'!I$3:I$501)</f>
        <v>0</v>
      </c>
      <c r="G48" s="335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2452 SVEUČILIŠTE J. J. STROSSMAYERA U OSIJEKU</v>
      </c>
    </row>
    <row r="49" spans="1:8">
      <c r="A49" s="358">
        <v>581</v>
      </c>
      <c r="B49" s="357" t="s">
        <v>4802</v>
      </c>
      <c r="C49" s="343">
        <v>0</v>
      </c>
      <c r="D49" s="343">
        <v>0</v>
      </c>
      <c r="E49" s="335">
        <f>SUMIF('Unos rashoda i izdataka'!$Q$3:$Q$501,$A49,'Unos rashoda i izdataka'!J$3:J$501)+SUMIF('Unos rashoda P4'!$A$3:$A$501,$A49,'Unos rashoda P4'!H$3:H$501)</f>
        <v>0</v>
      </c>
      <c r="F49" s="335">
        <f>SUMIF('Unos rashoda i izdataka'!$Q$3:$Q$501,$A49,'Unos rashoda i izdataka'!K$3:K$501)+SUMIF('Unos rashoda P4'!$A$3:$A$501,$A49,'Unos rashoda P4'!I$3:I$501)</f>
        <v>0</v>
      </c>
      <c r="G49" s="335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2452 SVEUČILIŠTE J. J. STROSSMAYERA U OSIJEKU</v>
      </c>
    </row>
    <row r="50" spans="1:8" s="341" customFormat="1">
      <c r="A50" s="360">
        <v>6</v>
      </c>
      <c r="B50" s="354" t="s">
        <v>4803</v>
      </c>
      <c r="C50" s="309">
        <f>+C51+C52</f>
        <v>4700</v>
      </c>
      <c r="D50" s="309">
        <f t="shared" ref="D50:G50" si="11">+D51+D52</f>
        <v>0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2452 SVEUČILIŠTE J. J. STROSSMAYERA U OSIJEKU</v>
      </c>
    </row>
    <row r="51" spans="1:8">
      <c r="A51" s="358">
        <v>61</v>
      </c>
      <c r="B51" s="357" t="s">
        <v>4804</v>
      </c>
      <c r="C51" s="343">
        <f>4480+220</f>
        <v>4700</v>
      </c>
      <c r="D51" s="343">
        <v>0</v>
      </c>
      <c r="E51" s="335">
        <f>SUMIF('Unos rashoda i izdataka'!$Q$3:$Q$501,$A51,'Unos rashoda i izdataka'!J$3:J$501)+SUMIF('Unos rashoda P4'!$A$3:$A$501,$A51,'Unos rashoda P4'!H$3:H$501)</f>
        <v>0</v>
      </c>
      <c r="F51" s="335">
        <f>SUMIF('Unos rashoda i izdataka'!$Q$3:$Q$501,$A51,'Unos rashoda i izdataka'!K$3:K$501)+SUMIF('Unos rashoda P4'!$A$3:$A$501,$A51,'Unos rashoda P4'!I$3:I$501)</f>
        <v>0</v>
      </c>
      <c r="G51" s="335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2452 SVEUČILIŠTE J. J. STROSSMAYERA U OSIJEKU</v>
      </c>
    </row>
    <row r="52" spans="1:8">
      <c r="A52" s="358">
        <v>63</v>
      </c>
      <c r="B52" s="357" t="s">
        <v>4805</v>
      </c>
      <c r="C52" s="343">
        <v>0</v>
      </c>
      <c r="D52" s="343">
        <v>0</v>
      </c>
      <c r="E52" s="335">
        <f>SUMIF('Unos rashoda i izdataka'!$Q$3:$Q$501,$A52,'Unos rashoda i izdataka'!J$3:J$501)+SUMIF('Unos rashoda P4'!$A$3:$A$501,$A52,'Unos rashoda P4'!H$3:H$501)</f>
        <v>0</v>
      </c>
      <c r="F52" s="335">
        <f>SUMIF('Unos rashoda i izdataka'!$Q$3:$Q$501,$A52,'Unos rashoda i izdataka'!K$3:K$501)+SUMIF('Unos rashoda P4'!$A$3:$A$501,$A52,'Unos rashoda P4'!I$3:I$501)</f>
        <v>0</v>
      </c>
      <c r="G52" s="335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2452 SVEUČILIŠTE J. J. STROSSMAYERA U OSIJEKU</v>
      </c>
    </row>
    <row r="53" spans="1:8" s="341" customFormat="1" ht="27.75" customHeight="1">
      <c r="A53" s="360">
        <v>7</v>
      </c>
      <c r="B53" s="354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2452 SVEUČILIŠTE J. J. STROSSMAYERA U OSIJEKU</v>
      </c>
    </row>
    <row r="54" spans="1:8" ht="30">
      <c r="A54" s="358">
        <v>71</v>
      </c>
      <c r="B54" s="357" t="s">
        <v>4807</v>
      </c>
      <c r="C54" s="343">
        <v>0</v>
      </c>
      <c r="D54" s="343">
        <v>0</v>
      </c>
      <c r="E54" s="335">
        <f>SUMIF('Unos rashoda i izdataka'!$Q$3:$Q$501,$A54,'Unos rashoda i izdataka'!J$3:J$501)+SUMIF('Unos rashoda P4'!$A$3:$A$501,$A54,'Unos rashoda P4'!H$3:H$501)</f>
        <v>0</v>
      </c>
      <c r="F54" s="335">
        <f>SUMIF('Unos rashoda i izdataka'!$Q$3:$Q$501,$A54,'Unos rashoda i izdataka'!K$3:K$501)+SUMIF('Unos rashoda P4'!$A$3:$A$501,$A54,'Unos rashoda P4'!I$3:I$501)</f>
        <v>0</v>
      </c>
      <c r="G54" s="335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2452 SVEUČILIŠTE J. J. STROSSMAYERA U OSIJEKU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scale="6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64" activePane="bottomRight" state="frozen"/>
      <selection pane="topRight" activeCell="B1" sqref="B1"/>
      <selection pane="bottomLeft" activeCell="A4" sqref="A4"/>
      <selection pane="bottomRight" activeCell="F7" sqref="F7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92" t="s">
        <v>3911</v>
      </c>
      <c r="B1" s="392"/>
      <c r="C1" s="392"/>
      <c r="D1" s="392"/>
      <c r="E1" s="392"/>
      <c r="F1" s="392"/>
      <c r="G1" s="392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48" customFormat="1" ht="28.5" customHeight="1">
      <c r="A5" s="346"/>
      <c r="B5" s="346" t="s">
        <v>3912</v>
      </c>
      <c r="C5" s="347">
        <f t="shared" ref="C5:D5" si="0">+C6+C15+C21+C28+C38+C45+C52+C59+C66+C75</f>
        <v>11319991</v>
      </c>
      <c r="D5" s="347">
        <f t="shared" si="0"/>
        <v>10717299</v>
      </c>
      <c r="E5" s="347">
        <f>+E6+E15+E21+E28+E38+E45+E52+E59+E66+E75</f>
        <v>10953272</v>
      </c>
      <c r="F5" s="347">
        <f t="shared" ref="F5:G5" si="1">+F6+F15+F21+F28+F38+F45+F52+F59+F66+F75</f>
        <v>9807670</v>
      </c>
      <c r="G5" s="347">
        <f t="shared" si="1"/>
        <v>9502596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2452 SVEUČILIŠTE J. J. STROSSMAYERA U OSIJEKU</v>
      </c>
    </row>
    <row r="7" spans="1:192" ht="25.5">
      <c r="A7" s="225">
        <v>11</v>
      </c>
      <c r="B7" s="25" t="s">
        <v>3914</v>
      </c>
      <c r="C7" s="342"/>
      <c r="D7" s="342"/>
      <c r="E7" s="342">
        <f>SUMIF('Unos rashoda i izdataka'!$R$3:$R$501,'A.3 RASHODI FUNK'!$A7,'Unos rashoda i izdataka'!J$3:J$501)+SUMIF('Unos rashoda P4'!$T$3:$T$501,'A.3 RASHODI FUNK'!$A7,'Unos rashoda P4'!H$3:H$501)</f>
        <v>0</v>
      </c>
      <c r="F7" s="342">
        <f>SUMIF('Unos rashoda i izdataka'!$R$3:$R$501,'A.3 RASHODI FUNK'!$A7,'Unos rashoda i izdataka'!K$3:K$501)+SUMIF('Unos rashoda P4'!$T$3:$T$501,'A.3 RASHODI FUNK'!$A7,'Unos rashoda P4'!I$3:I$501)</f>
        <v>0</v>
      </c>
      <c r="G7" s="342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2452 SVEUČILIŠTE J. J. STROSSMAYERA U OSIJEKU</v>
      </c>
    </row>
    <row r="8" spans="1:192">
      <c r="A8" s="225">
        <v>12</v>
      </c>
      <c r="B8" s="25" t="s">
        <v>3915</v>
      </c>
      <c r="C8" s="342"/>
      <c r="D8" s="342"/>
      <c r="E8" s="342">
        <f>SUMIF('Unos rashoda i izdataka'!$R$3:$R$501,'A.3 RASHODI FUNK'!$A8,'Unos rashoda i izdataka'!J$3:J$501)+SUMIF('Unos rashoda P4'!$T$3:$T$501,'A.3 RASHODI FUNK'!$A8,'Unos rashoda P4'!H$3:H$501)</f>
        <v>0</v>
      </c>
      <c r="F8" s="342">
        <f>SUMIF('Unos rashoda i izdataka'!$R$3:$R$501,'A.3 RASHODI FUNK'!$A8,'Unos rashoda i izdataka'!K$3:K$501)+SUMIF('Unos rashoda P4'!$T$3:$T$501,'A.3 RASHODI FUNK'!$A8,'Unos rashoda P4'!I$3:I$501)</f>
        <v>0</v>
      </c>
      <c r="G8" s="342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2452 SVEUČILIŠTE J. J. STROSSMAYERA U OSIJEKU</v>
      </c>
    </row>
    <row r="9" spans="1:192">
      <c r="A9" s="225">
        <v>13</v>
      </c>
      <c r="B9" s="25" t="s">
        <v>3917</v>
      </c>
      <c r="C9" s="342"/>
      <c r="D9" s="342"/>
      <c r="E9" s="342">
        <f>SUMIF('Unos rashoda i izdataka'!$R$3:$R$501,'A.3 RASHODI FUNK'!$A9,'Unos rashoda i izdataka'!J$3:J$501)+SUMIF('Unos rashoda P4'!$T$3:$T$501,'A.3 RASHODI FUNK'!$A9,'Unos rashoda P4'!H$3:H$501)</f>
        <v>0</v>
      </c>
      <c r="F9" s="342">
        <f>SUMIF('Unos rashoda i izdataka'!$R$3:$R$501,'A.3 RASHODI FUNK'!$A9,'Unos rashoda i izdataka'!K$3:K$501)+SUMIF('Unos rashoda P4'!$T$3:$T$501,'A.3 RASHODI FUNK'!$A9,'Unos rashoda P4'!I$3:I$501)</f>
        <v>0</v>
      </c>
      <c r="G9" s="342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2452 SVEUČILIŠTE J. J. STROSSMAYERA U OSIJEKU</v>
      </c>
    </row>
    <row r="10" spans="1:192">
      <c r="A10" s="225">
        <v>14</v>
      </c>
      <c r="B10" s="25" t="s">
        <v>3967</v>
      </c>
      <c r="C10" s="342"/>
      <c r="D10" s="342"/>
      <c r="E10" s="342">
        <f>SUMIF('Unos rashoda i izdataka'!$R$3:$R$501,'A.3 RASHODI FUNK'!$A10,'Unos rashoda i izdataka'!J$3:J$501)+SUMIF('Unos rashoda P4'!$T$3:$T$501,'A.3 RASHODI FUNK'!$A10,'Unos rashoda P4'!H$3:H$501)</f>
        <v>0</v>
      </c>
      <c r="F10" s="342">
        <f>SUMIF('Unos rashoda i izdataka'!$R$3:$R$501,'A.3 RASHODI FUNK'!$A10,'Unos rashoda i izdataka'!K$3:K$501)+SUMIF('Unos rashoda P4'!$T$3:$T$501,'A.3 RASHODI FUNK'!$A10,'Unos rashoda P4'!I$3:I$501)</f>
        <v>0</v>
      </c>
      <c r="G10" s="342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2452 SVEUČILIŠTE J. J. STROSSMAYERA U OSIJEKU</v>
      </c>
    </row>
    <row r="11" spans="1:192">
      <c r="A11" s="225">
        <v>15</v>
      </c>
      <c r="B11" s="25" t="s">
        <v>3924</v>
      </c>
      <c r="C11" s="342"/>
      <c r="D11" s="342"/>
      <c r="E11" s="342">
        <f>SUMIF('Unos rashoda i izdataka'!$R$3:$R$501,'A.3 RASHODI FUNK'!$A11,'Unos rashoda i izdataka'!J$3:J$501)+SUMIF('Unos rashoda P4'!$T$3:$T$501,'A.3 RASHODI FUNK'!$A11,'Unos rashoda P4'!H$3:H$501)</f>
        <v>0</v>
      </c>
      <c r="F11" s="342">
        <f>SUMIF('Unos rashoda i izdataka'!$R$3:$R$501,'A.3 RASHODI FUNK'!$A11,'Unos rashoda i izdataka'!K$3:K$501)+SUMIF('Unos rashoda P4'!$T$3:$T$501,'A.3 RASHODI FUNK'!$A11,'Unos rashoda P4'!I$3:I$501)</f>
        <v>0</v>
      </c>
      <c r="G11" s="342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2452 SVEUČILIŠTE J. J. STROSSMAYERA U OSIJEKU</v>
      </c>
    </row>
    <row r="12" spans="1:192">
      <c r="A12" s="225">
        <v>16</v>
      </c>
      <c r="B12" s="25" t="s">
        <v>3968</v>
      </c>
      <c r="C12" s="342"/>
      <c r="D12" s="342"/>
      <c r="E12" s="342">
        <f>SUMIF('Unos rashoda i izdataka'!$R$3:$R$501,'A.3 RASHODI FUNK'!$A12,'Unos rashoda i izdataka'!J$3:J$501)+SUMIF('Unos rashoda P4'!$T$3:$T$501,'A.3 RASHODI FUNK'!$A12,'Unos rashoda P4'!H$3:H$501)</f>
        <v>0</v>
      </c>
      <c r="F12" s="342">
        <f>SUMIF('Unos rashoda i izdataka'!$R$3:$R$501,'A.3 RASHODI FUNK'!$A12,'Unos rashoda i izdataka'!K$3:K$501)+SUMIF('Unos rashoda P4'!$T$3:$T$501,'A.3 RASHODI FUNK'!$A12,'Unos rashoda P4'!I$3:I$501)</f>
        <v>0</v>
      </c>
      <c r="G12" s="342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2452 SVEUČILIŠTE J. J. STROSSMAYERA U OSIJEKU</v>
      </c>
    </row>
    <row r="13" spans="1:192">
      <c r="A13" s="225">
        <v>17</v>
      </c>
      <c r="B13" s="25" t="s">
        <v>3969</v>
      </c>
      <c r="C13" s="342"/>
      <c r="D13" s="342"/>
      <c r="E13" s="342">
        <f>SUMIF('Unos rashoda i izdataka'!$R$3:$R$501,'A.3 RASHODI FUNK'!$A13,'Unos rashoda i izdataka'!J$3:J$501)+SUMIF('Unos rashoda P4'!$T$3:$T$501,'A.3 RASHODI FUNK'!$A13,'Unos rashoda P4'!H$3:H$501)</f>
        <v>0</v>
      </c>
      <c r="F13" s="342">
        <f>SUMIF('Unos rashoda i izdataka'!$R$3:$R$501,'A.3 RASHODI FUNK'!$A13,'Unos rashoda i izdataka'!K$3:K$501)+SUMIF('Unos rashoda P4'!$T$3:$T$501,'A.3 RASHODI FUNK'!$A13,'Unos rashoda P4'!I$3:I$501)</f>
        <v>0</v>
      </c>
      <c r="G13" s="342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2452 SVEUČILIŠTE J. J. STROSSMAYERA U OSIJEKU</v>
      </c>
    </row>
    <row r="14" spans="1:192" ht="25.5">
      <c r="A14" s="225">
        <v>18</v>
      </c>
      <c r="B14" s="25" t="s">
        <v>3936</v>
      </c>
      <c r="C14" s="342"/>
      <c r="D14" s="342"/>
      <c r="E14" s="342">
        <f>SUMIF('Unos rashoda i izdataka'!$R$3:$R$501,'A.3 RASHODI FUNK'!$A14,'Unos rashoda i izdataka'!J$3:J$501)+SUMIF('Unos rashoda P4'!$T$3:$T$501,'A.3 RASHODI FUNK'!$A14,'Unos rashoda P4'!H$3:H$501)</f>
        <v>0</v>
      </c>
      <c r="F14" s="342">
        <f>SUMIF('Unos rashoda i izdataka'!$R$3:$R$501,'A.3 RASHODI FUNK'!$A14,'Unos rashoda i izdataka'!K$3:K$501)+SUMIF('Unos rashoda P4'!$T$3:$T$501,'A.3 RASHODI FUNK'!$A14,'Unos rashoda P4'!I$3:I$501)</f>
        <v>0</v>
      </c>
      <c r="G14" s="342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2452 SVEUČILIŠTE J. J. STROSSMAYERA U OSIJEKU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2452 SVEUČILIŠTE J. J. STROSSMAYERA U OSIJEKU</v>
      </c>
    </row>
    <row r="16" spans="1:192">
      <c r="A16" s="225">
        <v>21</v>
      </c>
      <c r="B16" s="25" t="s">
        <v>3971</v>
      </c>
      <c r="C16" s="342"/>
      <c r="D16" s="342"/>
      <c r="E16" s="342">
        <f>SUMIF('Unos rashoda i izdataka'!$R$3:$R$501,'A.3 RASHODI FUNK'!$A16,'Unos rashoda i izdataka'!J$3:J$501)+SUMIF('Unos rashoda P4'!$T$3:$T$501,'A.3 RASHODI FUNK'!$A16,'Unos rashoda P4'!H$3:H$501)</f>
        <v>0</v>
      </c>
      <c r="F16" s="342">
        <f>SUMIF('Unos rashoda i izdataka'!$R$3:$R$501,'A.3 RASHODI FUNK'!$A16,'Unos rashoda i izdataka'!K$3:K$501)+SUMIF('Unos rashoda P4'!$T$3:$T$501,'A.3 RASHODI FUNK'!$A16,'Unos rashoda P4'!I$3:I$501)</f>
        <v>0</v>
      </c>
      <c r="G16" s="342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2452 SVEUČILIŠTE J. J. STROSSMAYERA U OSIJEKU</v>
      </c>
    </row>
    <row r="17" spans="1:8">
      <c r="A17" s="225">
        <v>22</v>
      </c>
      <c r="B17" s="25" t="s">
        <v>3972</v>
      </c>
      <c r="C17" s="342"/>
      <c r="D17" s="342"/>
      <c r="E17" s="342">
        <f>SUMIF('Unos rashoda i izdataka'!$R$3:$R$501,'A.3 RASHODI FUNK'!$A17,'Unos rashoda i izdataka'!J$3:J$501)+SUMIF('Unos rashoda P4'!$T$3:$T$501,'A.3 RASHODI FUNK'!$A17,'Unos rashoda P4'!H$3:H$501)</f>
        <v>0</v>
      </c>
      <c r="F17" s="342">
        <f>SUMIF('Unos rashoda i izdataka'!$R$3:$R$501,'A.3 RASHODI FUNK'!$A17,'Unos rashoda i izdataka'!K$3:K$501)+SUMIF('Unos rashoda P4'!$T$3:$T$501,'A.3 RASHODI FUNK'!$A17,'Unos rashoda P4'!I$3:I$501)</f>
        <v>0</v>
      </c>
      <c r="G17" s="342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2452 SVEUČILIŠTE J. J. STROSSMAYERA U OSIJEKU</v>
      </c>
    </row>
    <row r="18" spans="1:8">
      <c r="A18" s="225">
        <v>23</v>
      </c>
      <c r="B18" s="25" t="s">
        <v>3973</v>
      </c>
      <c r="C18" s="342"/>
      <c r="D18" s="342"/>
      <c r="E18" s="342">
        <f>SUMIF('Unos rashoda i izdataka'!$R$3:$R$501,'A.3 RASHODI FUNK'!$A18,'Unos rashoda i izdataka'!J$3:J$501)+SUMIF('Unos rashoda P4'!$T$3:$T$501,'A.3 RASHODI FUNK'!$A18,'Unos rashoda P4'!H$3:H$501)</f>
        <v>0</v>
      </c>
      <c r="F18" s="342">
        <f>SUMIF('Unos rashoda i izdataka'!$R$3:$R$501,'A.3 RASHODI FUNK'!$A18,'Unos rashoda i izdataka'!K$3:K$501)+SUMIF('Unos rashoda P4'!$T$3:$T$501,'A.3 RASHODI FUNK'!$A18,'Unos rashoda P4'!I$3:I$501)</f>
        <v>0</v>
      </c>
      <c r="G18" s="342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2452 SVEUČILIŠTE J. J. STROSSMAYERA U OSIJEKU</v>
      </c>
    </row>
    <row r="19" spans="1:8">
      <c r="A19" s="225">
        <v>24</v>
      </c>
      <c r="B19" s="25" t="s">
        <v>3974</v>
      </c>
      <c r="C19" s="342"/>
      <c r="D19" s="342"/>
      <c r="E19" s="342">
        <f>SUMIF('Unos rashoda i izdataka'!$R$3:$R$501,'A.3 RASHODI FUNK'!$A19,'Unos rashoda i izdataka'!J$3:J$501)+SUMIF('Unos rashoda P4'!$T$3:$T$501,'A.3 RASHODI FUNK'!$A19,'Unos rashoda P4'!H$3:H$501)</f>
        <v>0</v>
      </c>
      <c r="F19" s="342">
        <f>SUMIF('Unos rashoda i izdataka'!$R$3:$R$501,'A.3 RASHODI FUNK'!$A19,'Unos rashoda i izdataka'!K$3:K$501)+SUMIF('Unos rashoda P4'!$T$3:$T$501,'A.3 RASHODI FUNK'!$A19,'Unos rashoda P4'!I$3:I$501)</f>
        <v>0</v>
      </c>
      <c r="G19" s="342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2452 SVEUČILIŠTE J. J. STROSSMAYERA U OSIJEKU</v>
      </c>
    </row>
    <row r="20" spans="1:8">
      <c r="A20" s="225">
        <v>25</v>
      </c>
      <c r="B20" s="25" t="s">
        <v>3975</v>
      </c>
      <c r="C20" s="342"/>
      <c r="D20" s="342"/>
      <c r="E20" s="342">
        <f>SUMIF('Unos rashoda i izdataka'!$R$3:$R$501,'A.3 RASHODI FUNK'!$A20,'Unos rashoda i izdataka'!J$3:J$501)+SUMIF('Unos rashoda P4'!$T$3:$T$501,'A.3 RASHODI FUNK'!$A20,'Unos rashoda P4'!H$3:H$501)</f>
        <v>0</v>
      </c>
      <c r="F20" s="342">
        <f>SUMIF('Unos rashoda i izdataka'!$R$3:$R$501,'A.3 RASHODI FUNK'!$A20,'Unos rashoda i izdataka'!K$3:K$501)+SUMIF('Unos rashoda P4'!$T$3:$T$501,'A.3 RASHODI FUNK'!$A20,'Unos rashoda P4'!I$3:I$501)</f>
        <v>0</v>
      </c>
      <c r="G20" s="342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2452 SVEUČILIŠTE J. J. STROSSMAYERA U OSIJEKU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2452 SVEUČILIŠTE J. J. STROSSMAYERA U OSIJEKU</v>
      </c>
    </row>
    <row r="22" spans="1:8">
      <c r="A22" s="225">
        <v>31</v>
      </c>
      <c r="B22" s="25" t="s">
        <v>3977</v>
      </c>
      <c r="C22" s="342"/>
      <c r="D22" s="342"/>
      <c r="E22" s="342">
        <f>SUMIF('Unos rashoda i izdataka'!$R$3:$R$501,'A.3 RASHODI FUNK'!$A22,'Unos rashoda i izdataka'!J$3:J$501)+SUMIF('Unos rashoda P4'!$T$3:$T$501,'A.3 RASHODI FUNK'!$A22,'Unos rashoda P4'!H$3:H$501)</f>
        <v>0</v>
      </c>
      <c r="F22" s="342">
        <f>SUMIF('Unos rashoda i izdataka'!$R$3:$R$501,'A.3 RASHODI FUNK'!$A22,'Unos rashoda i izdataka'!K$3:K$501)+SUMIF('Unos rashoda P4'!$T$3:$T$501,'A.3 RASHODI FUNK'!$A22,'Unos rashoda P4'!I$3:I$501)</f>
        <v>0</v>
      </c>
      <c r="G22" s="342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2452 SVEUČILIŠTE J. J. STROSSMAYERA U OSIJEKU</v>
      </c>
    </row>
    <row r="23" spans="1:8">
      <c r="A23" s="225">
        <v>32</v>
      </c>
      <c r="B23" s="25" t="s">
        <v>3978</v>
      </c>
      <c r="C23" s="342"/>
      <c r="D23" s="342"/>
      <c r="E23" s="342">
        <f>SUMIF('Unos rashoda i izdataka'!$R$3:$R$501,'A.3 RASHODI FUNK'!$A23,'Unos rashoda i izdataka'!J$3:J$501)+SUMIF('Unos rashoda P4'!$T$3:$T$501,'A.3 RASHODI FUNK'!$A23,'Unos rashoda P4'!H$3:H$501)</f>
        <v>0</v>
      </c>
      <c r="F23" s="342">
        <f>SUMIF('Unos rashoda i izdataka'!$R$3:$R$501,'A.3 RASHODI FUNK'!$A23,'Unos rashoda i izdataka'!K$3:K$501)+SUMIF('Unos rashoda P4'!$T$3:$T$501,'A.3 RASHODI FUNK'!$A23,'Unos rashoda P4'!I$3:I$501)</f>
        <v>0</v>
      </c>
      <c r="G23" s="342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2452 SVEUČILIŠTE J. J. STROSSMAYERA U OSIJEKU</v>
      </c>
    </row>
    <row r="24" spans="1:8">
      <c r="A24" s="225">
        <v>33</v>
      </c>
      <c r="B24" s="25" t="s">
        <v>3979</v>
      </c>
      <c r="C24" s="342"/>
      <c r="D24" s="342"/>
      <c r="E24" s="342">
        <f>SUMIF('Unos rashoda i izdataka'!$R$3:$R$501,'A.3 RASHODI FUNK'!$A24,'Unos rashoda i izdataka'!J$3:J$501)+SUMIF('Unos rashoda P4'!$T$3:$T$501,'A.3 RASHODI FUNK'!$A24,'Unos rashoda P4'!H$3:H$501)</f>
        <v>0</v>
      </c>
      <c r="F24" s="342">
        <f>SUMIF('Unos rashoda i izdataka'!$R$3:$R$501,'A.3 RASHODI FUNK'!$A24,'Unos rashoda i izdataka'!K$3:K$501)+SUMIF('Unos rashoda P4'!$T$3:$T$501,'A.3 RASHODI FUNK'!$A24,'Unos rashoda P4'!I$3:I$501)</f>
        <v>0</v>
      </c>
      <c r="G24" s="342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2452 SVEUČILIŠTE J. J. STROSSMAYERA U OSIJEKU</v>
      </c>
    </row>
    <row r="25" spans="1:8">
      <c r="A25" s="225">
        <v>34</v>
      </c>
      <c r="B25" s="25" t="s">
        <v>3980</v>
      </c>
      <c r="C25" s="342"/>
      <c r="D25" s="342"/>
      <c r="E25" s="342">
        <f>SUMIF('Unos rashoda i izdataka'!$R$3:$R$501,'A.3 RASHODI FUNK'!$A25,'Unos rashoda i izdataka'!J$3:J$501)+SUMIF('Unos rashoda P4'!$T$3:$T$501,'A.3 RASHODI FUNK'!$A25,'Unos rashoda P4'!H$3:H$501)</f>
        <v>0</v>
      </c>
      <c r="F25" s="342">
        <f>SUMIF('Unos rashoda i izdataka'!$R$3:$R$501,'A.3 RASHODI FUNK'!$A25,'Unos rashoda i izdataka'!K$3:K$501)+SUMIF('Unos rashoda P4'!$T$3:$T$501,'A.3 RASHODI FUNK'!$A25,'Unos rashoda P4'!I$3:I$501)</f>
        <v>0</v>
      </c>
      <c r="G25" s="342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2452 SVEUČILIŠTE J. J. STROSSMAYERA U OSIJEKU</v>
      </c>
    </row>
    <row r="26" spans="1:8">
      <c r="A26" s="225">
        <v>35</v>
      </c>
      <c r="B26" s="25" t="s">
        <v>3981</v>
      </c>
      <c r="C26" s="342"/>
      <c r="D26" s="342"/>
      <c r="E26" s="342">
        <f>SUMIF('Unos rashoda i izdataka'!$R$3:$R$501,'A.3 RASHODI FUNK'!$A26,'Unos rashoda i izdataka'!J$3:J$501)+SUMIF('Unos rashoda P4'!$T$3:$T$501,'A.3 RASHODI FUNK'!$A26,'Unos rashoda P4'!H$3:H$501)</f>
        <v>0</v>
      </c>
      <c r="F26" s="342">
        <f>SUMIF('Unos rashoda i izdataka'!$R$3:$R$501,'A.3 RASHODI FUNK'!$A26,'Unos rashoda i izdataka'!K$3:K$501)+SUMIF('Unos rashoda P4'!$T$3:$T$501,'A.3 RASHODI FUNK'!$A26,'Unos rashoda P4'!I$3:I$501)</f>
        <v>0</v>
      </c>
      <c r="G26" s="342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2452 SVEUČILIŠTE J. J. STROSSMAYERA U OSIJEKU</v>
      </c>
    </row>
    <row r="27" spans="1:8" ht="25.5">
      <c r="A27" s="225">
        <v>36</v>
      </c>
      <c r="B27" s="25" t="s">
        <v>3982</v>
      </c>
      <c r="C27" s="342"/>
      <c r="D27" s="342"/>
      <c r="E27" s="342">
        <f>SUMIF('Unos rashoda i izdataka'!$R$3:$R$501,'A.3 RASHODI FUNK'!$A27,'Unos rashoda i izdataka'!J$3:J$501)+SUMIF('Unos rashoda P4'!$T$3:$T$501,'A.3 RASHODI FUNK'!$A27,'Unos rashoda P4'!H$3:H$501)</f>
        <v>0</v>
      </c>
      <c r="F27" s="342">
        <f>SUMIF('Unos rashoda i izdataka'!$R$3:$R$501,'A.3 RASHODI FUNK'!$A27,'Unos rashoda i izdataka'!K$3:K$501)+SUMIF('Unos rashoda P4'!$T$3:$T$501,'A.3 RASHODI FUNK'!$A27,'Unos rashoda P4'!I$3:I$501)</f>
        <v>0</v>
      </c>
      <c r="G27" s="342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2452 SVEUČILIŠTE J. J. STROSSMAYERA U OSIJEKU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2452 SVEUČILIŠTE J. J. STROSSMAYERA U OSIJEKU</v>
      </c>
    </row>
    <row r="29" spans="1:8">
      <c r="A29" s="225">
        <v>41</v>
      </c>
      <c r="B29" s="25" t="s">
        <v>3984</v>
      </c>
      <c r="C29" s="342"/>
      <c r="D29" s="342"/>
      <c r="E29" s="342">
        <f>SUMIF('Unos rashoda i izdataka'!$R$3:$R$501,'A.3 RASHODI FUNK'!$A29,'Unos rashoda i izdataka'!J$3:J$501)+SUMIF('Unos rashoda P4'!$T$3:$T$501,'A.3 RASHODI FUNK'!$A29,'Unos rashoda P4'!H$3:H$501)</f>
        <v>0</v>
      </c>
      <c r="F29" s="342">
        <f>SUMIF('Unos rashoda i izdataka'!$R$3:$R$501,'A.3 RASHODI FUNK'!$A29,'Unos rashoda i izdataka'!K$3:K$501)+SUMIF('Unos rashoda P4'!$T$3:$T$501,'A.3 RASHODI FUNK'!$A29,'Unos rashoda P4'!I$3:I$501)</f>
        <v>0</v>
      </c>
      <c r="G29" s="342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2452 SVEUČILIŠTE J. J. STROSSMAYERA U OSIJEKU</v>
      </c>
    </row>
    <row r="30" spans="1:8">
      <c r="A30" s="225">
        <v>42</v>
      </c>
      <c r="B30" s="25" t="s">
        <v>3985</v>
      </c>
      <c r="C30" s="342"/>
      <c r="D30" s="342"/>
      <c r="E30" s="342">
        <f>SUMIF('Unos rashoda i izdataka'!$R$3:$R$501,'A.3 RASHODI FUNK'!$A30,'Unos rashoda i izdataka'!J$3:J$501)+SUMIF('Unos rashoda P4'!$T$3:$T$501,'A.3 RASHODI FUNK'!$A30,'Unos rashoda P4'!H$3:H$501)</f>
        <v>0</v>
      </c>
      <c r="F30" s="342">
        <f>SUMIF('Unos rashoda i izdataka'!$R$3:$R$501,'A.3 RASHODI FUNK'!$A30,'Unos rashoda i izdataka'!K$3:K$501)+SUMIF('Unos rashoda P4'!$T$3:$T$501,'A.3 RASHODI FUNK'!$A30,'Unos rashoda P4'!I$3:I$501)</f>
        <v>0</v>
      </c>
      <c r="G30" s="342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2452 SVEUČILIŠTE J. J. STROSSMAYERA U OSIJEKU</v>
      </c>
    </row>
    <row r="31" spans="1:8">
      <c r="A31" s="225">
        <v>43</v>
      </c>
      <c r="B31" s="25" t="s">
        <v>3986</v>
      </c>
      <c r="C31" s="342"/>
      <c r="D31" s="342"/>
      <c r="E31" s="342">
        <f>SUMIF('Unos rashoda i izdataka'!$R$3:$R$501,'A.3 RASHODI FUNK'!$A31,'Unos rashoda i izdataka'!J$3:J$501)+SUMIF('Unos rashoda P4'!$T$3:$T$501,'A.3 RASHODI FUNK'!$A31,'Unos rashoda P4'!H$3:H$501)</f>
        <v>0</v>
      </c>
      <c r="F31" s="342">
        <f>SUMIF('Unos rashoda i izdataka'!$R$3:$R$501,'A.3 RASHODI FUNK'!$A31,'Unos rashoda i izdataka'!K$3:K$501)+SUMIF('Unos rashoda P4'!$T$3:$T$501,'A.3 RASHODI FUNK'!$A31,'Unos rashoda P4'!I$3:I$501)</f>
        <v>0</v>
      </c>
      <c r="G31" s="342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2452 SVEUČILIŠTE J. J. STROSSMAYERA U OSIJEKU</v>
      </c>
    </row>
    <row r="32" spans="1:8">
      <c r="A32" s="225">
        <v>44</v>
      </c>
      <c r="B32" s="25" t="s">
        <v>3987</v>
      </c>
      <c r="C32" s="342"/>
      <c r="D32" s="342"/>
      <c r="E32" s="342">
        <f>SUMIF('Unos rashoda i izdataka'!$R$3:$R$501,'A.3 RASHODI FUNK'!$A32,'Unos rashoda i izdataka'!J$3:J$501)+SUMIF('Unos rashoda P4'!$T$3:$T$501,'A.3 RASHODI FUNK'!$A32,'Unos rashoda P4'!H$3:H$501)</f>
        <v>0</v>
      </c>
      <c r="F32" s="342">
        <f>SUMIF('Unos rashoda i izdataka'!$R$3:$R$501,'A.3 RASHODI FUNK'!$A32,'Unos rashoda i izdataka'!K$3:K$501)+SUMIF('Unos rashoda P4'!$T$3:$T$501,'A.3 RASHODI FUNK'!$A32,'Unos rashoda P4'!I$3:I$501)</f>
        <v>0</v>
      </c>
      <c r="G32" s="342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2452 SVEUČILIŠTE J. J. STROSSMAYERA U OSIJEKU</v>
      </c>
    </row>
    <row r="33" spans="1:8">
      <c r="A33" s="225">
        <v>45</v>
      </c>
      <c r="B33" s="25" t="s">
        <v>3988</v>
      </c>
      <c r="C33" s="342"/>
      <c r="D33" s="342"/>
      <c r="E33" s="342">
        <f>SUMIF('Unos rashoda i izdataka'!$R$3:$R$501,'A.3 RASHODI FUNK'!$A33,'Unos rashoda i izdataka'!J$3:J$501)+SUMIF('Unos rashoda P4'!$T$3:$T$501,'A.3 RASHODI FUNK'!$A33,'Unos rashoda P4'!H$3:H$501)</f>
        <v>0</v>
      </c>
      <c r="F33" s="342">
        <f>SUMIF('Unos rashoda i izdataka'!$R$3:$R$501,'A.3 RASHODI FUNK'!$A33,'Unos rashoda i izdataka'!K$3:K$501)+SUMIF('Unos rashoda P4'!$T$3:$T$501,'A.3 RASHODI FUNK'!$A33,'Unos rashoda P4'!I$3:I$501)</f>
        <v>0</v>
      </c>
      <c r="G33" s="342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2452 SVEUČILIŠTE J. J. STROSSMAYERA U OSIJEKU</v>
      </c>
    </row>
    <row r="34" spans="1:8">
      <c r="A34" s="225">
        <v>46</v>
      </c>
      <c r="B34" s="25" t="s">
        <v>3946</v>
      </c>
      <c r="C34" s="342"/>
      <c r="D34" s="342"/>
      <c r="E34" s="342">
        <f>SUMIF('Unos rashoda i izdataka'!$R$3:$R$501,'A.3 RASHODI FUNK'!$A34,'Unos rashoda i izdataka'!J$3:J$501)+SUMIF('Unos rashoda P4'!$T$3:$T$501,'A.3 RASHODI FUNK'!$A34,'Unos rashoda P4'!H$3:H$501)</f>
        <v>0</v>
      </c>
      <c r="F34" s="342">
        <f>SUMIF('Unos rashoda i izdataka'!$R$3:$R$501,'A.3 RASHODI FUNK'!$A34,'Unos rashoda i izdataka'!K$3:K$501)+SUMIF('Unos rashoda P4'!$T$3:$T$501,'A.3 RASHODI FUNK'!$A34,'Unos rashoda P4'!I$3:I$501)</f>
        <v>0</v>
      </c>
      <c r="G34" s="342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2452 SVEUČILIŠTE J. J. STROSSMAYERA U OSIJEKU</v>
      </c>
    </row>
    <row r="35" spans="1:8">
      <c r="A35" s="225">
        <v>47</v>
      </c>
      <c r="B35" s="25" t="s">
        <v>3989</v>
      </c>
      <c r="C35" s="342"/>
      <c r="D35" s="342"/>
      <c r="E35" s="342">
        <f>SUMIF('Unos rashoda i izdataka'!$R$3:$R$501,'A.3 RASHODI FUNK'!$A35,'Unos rashoda i izdataka'!J$3:J$501)+SUMIF('Unos rashoda P4'!$T$3:$T$501,'A.3 RASHODI FUNK'!$A35,'Unos rashoda P4'!H$3:H$501)</f>
        <v>0</v>
      </c>
      <c r="F35" s="342">
        <f>SUMIF('Unos rashoda i izdataka'!$R$3:$R$501,'A.3 RASHODI FUNK'!$A35,'Unos rashoda i izdataka'!K$3:K$501)+SUMIF('Unos rashoda P4'!$T$3:$T$501,'A.3 RASHODI FUNK'!$A35,'Unos rashoda P4'!I$3:I$501)</f>
        <v>0</v>
      </c>
      <c r="G35" s="342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2452 SVEUČILIŠTE J. J. STROSSMAYERA U OSIJEKU</v>
      </c>
    </row>
    <row r="36" spans="1:8">
      <c r="A36" s="225">
        <v>48</v>
      </c>
      <c r="B36" s="25" t="s">
        <v>3990</v>
      </c>
      <c r="C36" s="342"/>
      <c r="D36" s="342"/>
      <c r="E36" s="342">
        <f>SUMIF('Unos rashoda i izdataka'!$R$3:$R$501,'A.3 RASHODI FUNK'!$A36,'Unos rashoda i izdataka'!J$3:J$501)+SUMIF('Unos rashoda P4'!$T$3:$T$501,'A.3 RASHODI FUNK'!$A36,'Unos rashoda P4'!H$3:H$501)</f>
        <v>0</v>
      </c>
      <c r="F36" s="342">
        <f>SUMIF('Unos rashoda i izdataka'!$R$3:$R$501,'A.3 RASHODI FUNK'!$A36,'Unos rashoda i izdataka'!K$3:K$501)+SUMIF('Unos rashoda P4'!$T$3:$T$501,'A.3 RASHODI FUNK'!$A36,'Unos rashoda P4'!I$3:I$501)</f>
        <v>0</v>
      </c>
      <c r="G36" s="342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2452 SVEUČILIŠTE J. J. STROSSMAYERA U OSIJEKU</v>
      </c>
    </row>
    <row r="37" spans="1:8">
      <c r="A37" s="225">
        <v>49</v>
      </c>
      <c r="B37" s="25" t="s">
        <v>3991</v>
      </c>
      <c r="C37" s="342"/>
      <c r="D37" s="342"/>
      <c r="E37" s="342">
        <f>SUMIF('Unos rashoda i izdataka'!$R$3:$R$501,'A.3 RASHODI FUNK'!$A37,'Unos rashoda i izdataka'!J$3:J$501)+SUMIF('Unos rashoda P4'!$T$3:$T$501,'A.3 RASHODI FUNK'!$A37,'Unos rashoda P4'!H$3:H$501)</f>
        <v>0</v>
      </c>
      <c r="F37" s="342">
        <f>SUMIF('Unos rashoda i izdataka'!$R$3:$R$501,'A.3 RASHODI FUNK'!$A37,'Unos rashoda i izdataka'!K$3:K$501)+SUMIF('Unos rashoda P4'!$T$3:$T$501,'A.3 RASHODI FUNK'!$A37,'Unos rashoda P4'!I$3:I$501)</f>
        <v>0</v>
      </c>
      <c r="G37" s="342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2452 SVEUČILIŠTE J. J. STROSSMAYERA U OSIJEKU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2452 SVEUČILIŠTE J. J. STROSSMAYERA U OSIJEKU</v>
      </c>
    </row>
    <row r="39" spans="1:8">
      <c r="A39" s="225">
        <v>51</v>
      </c>
      <c r="B39" s="25" t="s">
        <v>3993</v>
      </c>
      <c r="C39" s="342"/>
      <c r="D39" s="342"/>
      <c r="E39" s="342">
        <f>SUMIF('Unos rashoda i izdataka'!$R$3:$R$501,'A.3 RASHODI FUNK'!$A39,'Unos rashoda i izdataka'!J$3:J$501)+SUMIF('Unos rashoda P4'!$T$3:$T$501,'A.3 RASHODI FUNK'!$A39,'Unos rashoda P4'!H$3:H$501)</f>
        <v>0</v>
      </c>
      <c r="F39" s="342">
        <f>SUMIF('Unos rashoda i izdataka'!$R$3:$R$501,'A.3 RASHODI FUNK'!$A39,'Unos rashoda i izdataka'!K$3:K$501)+SUMIF('Unos rashoda P4'!$T$3:$T$501,'A.3 RASHODI FUNK'!$A39,'Unos rashoda P4'!I$3:I$501)</f>
        <v>0</v>
      </c>
      <c r="G39" s="342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2452 SVEUČILIŠTE J. J. STROSSMAYERA U OSIJEKU</v>
      </c>
    </row>
    <row r="40" spans="1:8">
      <c r="A40" s="225">
        <v>52</v>
      </c>
      <c r="B40" s="25" t="s">
        <v>3994</v>
      </c>
      <c r="C40" s="342"/>
      <c r="D40" s="342"/>
      <c r="E40" s="342">
        <f>SUMIF('Unos rashoda i izdataka'!$R$3:$R$501,'A.3 RASHODI FUNK'!$A40,'Unos rashoda i izdataka'!J$3:J$501)+SUMIF('Unos rashoda P4'!$T$3:$T$501,'A.3 RASHODI FUNK'!$A40,'Unos rashoda P4'!H$3:H$501)</f>
        <v>0</v>
      </c>
      <c r="F40" s="342">
        <f>SUMIF('Unos rashoda i izdataka'!$R$3:$R$501,'A.3 RASHODI FUNK'!$A40,'Unos rashoda i izdataka'!K$3:K$501)+SUMIF('Unos rashoda P4'!$T$3:$T$501,'A.3 RASHODI FUNK'!$A40,'Unos rashoda P4'!I$3:I$501)</f>
        <v>0</v>
      </c>
      <c r="G40" s="342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2452 SVEUČILIŠTE J. J. STROSSMAYERA U OSIJEKU</v>
      </c>
    </row>
    <row r="41" spans="1:8">
      <c r="A41" s="225">
        <v>53</v>
      </c>
      <c r="B41" s="25" t="s">
        <v>3995</v>
      </c>
      <c r="C41" s="342"/>
      <c r="D41" s="342"/>
      <c r="E41" s="342">
        <f>SUMIF('Unos rashoda i izdataka'!$R$3:$R$501,'A.3 RASHODI FUNK'!$A41,'Unos rashoda i izdataka'!J$3:J$501)+SUMIF('Unos rashoda P4'!$T$3:$T$501,'A.3 RASHODI FUNK'!$A41,'Unos rashoda P4'!H$3:H$501)</f>
        <v>0</v>
      </c>
      <c r="F41" s="342">
        <f>SUMIF('Unos rashoda i izdataka'!$R$3:$R$501,'A.3 RASHODI FUNK'!$A41,'Unos rashoda i izdataka'!K$3:K$501)+SUMIF('Unos rashoda P4'!$T$3:$T$501,'A.3 RASHODI FUNK'!$A41,'Unos rashoda P4'!I$3:I$501)</f>
        <v>0</v>
      </c>
      <c r="G41" s="342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2452 SVEUČILIŠTE J. J. STROSSMAYERA U OSIJEKU</v>
      </c>
    </row>
    <row r="42" spans="1:8">
      <c r="A42" s="225">
        <v>54</v>
      </c>
      <c r="B42" s="25" t="s">
        <v>3996</v>
      </c>
      <c r="C42" s="342"/>
      <c r="D42" s="342"/>
      <c r="E42" s="342">
        <f>SUMIF('Unos rashoda i izdataka'!$R$3:$R$501,'A.3 RASHODI FUNK'!$A42,'Unos rashoda i izdataka'!J$3:J$501)+SUMIF('Unos rashoda P4'!$T$3:$T$501,'A.3 RASHODI FUNK'!$A42,'Unos rashoda P4'!H$3:H$501)</f>
        <v>0</v>
      </c>
      <c r="F42" s="342">
        <f>SUMIF('Unos rashoda i izdataka'!$R$3:$R$501,'A.3 RASHODI FUNK'!$A42,'Unos rashoda i izdataka'!K$3:K$501)+SUMIF('Unos rashoda P4'!$T$3:$T$501,'A.3 RASHODI FUNK'!$A42,'Unos rashoda P4'!I$3:I$501)</f>
        <v>0</v>
      </c>
      <c r="G42" s="342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2452 SVEUČILIŠTE J. J. STROSSMAYERA U OSIJEKU</v>
      </c>
    </row>
    <row r="43" spans="1:8">
      <c r="A43" s="225">
        <v>55</v>
      </c>
      <c r="B43" s="25" t="s">
        <v>3997</v>
      </c>
      <c r="C43" s="342"/>
      <c r="D43" s="342"/>
      <c r="E43" s="342">
        <f>SUMIF('Unos rashoda i izdataka'!$R$3:$R$501,'A.3 RASHODI FUNK'!$A43,'Unos rashoda i izdataka'!J$3:J$501)+SUMIF('Unos rashoda P4'!$T$3:$T$501,'A.3 RASHODI FUNK'!$A43,'Unos rashoda P4'!H$3:H$501)</f>
        <v>0</v>
      </c>
      <c r="F43" s="342">
        <f>SUMIF('Unos rashoda i izdataka'!$R$3:$R$501,'A.3 RASHODI FUNK'!$A43,'Unos rashoda i izdataka'!K$3:K$501)+SUMIF('Unos rashoda P4'!$T$3:$T$501,'A.3 RASHODI FUNK'!$A43,'Unos rashoda P4'!I$3:I$501)</f>
        <v>0</v>
      </c>
      <c r="G43" s="342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2452 SVEUČILIŠTE J. J. STROSSMAYERA U OSIJEKU</v>
      </c>
    </row>
    <row r="44" spans="1:8" ht="25.5">
      <c r="A44" s="225">
        <v>56</v>
      </c>
      <c r="B44" s="25" t="s">
        <v>3998</v>
      </c>
      <c r="C44" s="342"/>
      <c r="D44" s="342"/>
      <c r="E44" s="342">
        <f>SUMIF('Unos rashoda i izdataka'!$R$3:$R$501,'A.3 RASHODI FUNK'!$A44,'Unos rashoda i izdataka'!J$3:J$501)+SUMIF('Unos rashoda P4'!$T$3:$T$501,'A.3 RASHODI FUNK'!$A44,'Unos rashoda P4'!H$3:H$501)</f>
        <v>0</v>
      </c>
      <c r="F44" s="342">
        <f>SUMIF('Unos rashoda i izdataka'!$R$3:$R$501,'A.3 RASHODI FUNK'!$A44,'Unos rashoda i izdataka'!K$3:K$501)+SUMIF('Unos rashoda P4'!$T$3:$T$501,'A.3 RASHODI FUNK'!$A44,'Unos rashoda P4'!I$3:I$501)</f>
        <v>0</v>
      </c>
      <c r="G44" s="342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2452 SVEUČILIŠTE J. J. STROSSMAYERA U OSIJEKU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2452 SVEUČILIŠTE J. J. STROSSMAYERA U OSIJEKU</v>
      </c>
    </row>
    <row r="46" spans="1:8">
      <c r="A46" s="225">
        <v>61</v>
      </c>
      <c r="B46" s="25" t="s">
        <v>4000</v>
      </c>
      <c r="C46" s="342"/>
      <c r="D46" s="342"/>
      <c r="E46" s="342">
        <f>SUMIF('Unos rashoda i izdataka'!$R$3:$R$501,'A.3 RASHODI FUNK'!$A46,'Unos rashoda i izdataka'!J$3:J$501)+SUMIF('Unos rashoda P4'!$T$3:$T$501,'A.3 RASHODI FUNK'!$A46,'Unos rashoda P4'!H$3:H$501)</f>
        <v>0</v>
      </c>
      <c r="F46" s="342">
        <f>SUMIF('Unos rashoda i izdataka'!$R$3:$R$501,'A.3 RASHODI FUNK'!$A46,'Unos rashoda i izdataka'!K$3:K$501)+SUMIF('Unos rashoda P4'!$T$3:$T$501,'A.3 RASHODI FUNK'!$A46,'Unos rashoda P4'!I$3:I$501)</f>
        <v>0</v>
      </c>
      <c r="G46" s="342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2452 SVEUČILIŠTE J. J. STROSSMAYERA U OSIJEKU</v>
      </c>
    </row>
    <row r="47" spans="1:8">
      <c r="A47" s="225">
        <v>62</v>
      </c>
      <c r="B47" s="25" t="s">
        <v>4001</v>
      </c>
      <c r="C47" s="342"/>
      <c r="D47" s="342"/>
      <c r="E47" s="342">
        <f>SUMIF('Unos rashoda i izdataka'!$R$3:$R$501,'A.3 RASHODI FUNK'!$A47,'Unos rashoda i izdataka'!J$3:J$501)+SUMIF('Unos rashoda P4'!$T$3:$T$501,'A.3 RASHODI FUNK'!$A47,'Unos rashoda P4'!H$3:H$501)</f>
        <v>0</v>
      </c>
      <c r="F47" s="342">
        <f>SUMIF('Unos rashoda i izdataka'!$R$3:$R$501,'A.3 RASHODI FUNK'!$A47,'Unos rashoda i izdataka'!K$3:K$501)+SUMIF('Unos rashoda P4'!$T$3:$T$501,'A.3 RASHODI FUNK'!$A47,'Unos rashoda P4'!I$3:I$501)</f>
        <v>0</v>
      </c>
      <c r="G47" s="342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2452 SVEUČILIŠTE J. J. STROSSMAYERA U OSIJEKU</v>
      </c>
    </row>
    <row r="48" spans="1:8">
      <c r="A48" s="225">
        <v>63</v>
      </c>
      <c r="B48" s="25" t="s">
        <v>4002</v>
      </c>
      <c r="C48" s="342"/>
      <c r="D48" s="342"/>
      <c r="E48" s="342">
        <f>SUMIF('Unos rashoda i izdataka'!$R$3:$R$501,'A.3 RASHODI FUNK'!$A48,'Unos rashoda i izdataka'!J$3:J$501)+SUMIF('Unos rashoda P4'!$T$3:$T$501,'A.3 RASHODI FUNK'!$A48,'Unos rashoda P4'!H$3:H$501)</f>
        <v>0</v>
      </c>
      <c r="F48" s="342">
        <f>SUMIF('Unos rashoda i izdataka'!$R$3:$R$501,'A.3 RASHODI FUNK'!$A48,'Unos rashoda i izdataka'!K$3:K$501)+SUMIF('Unos rashoda P4'!$T$3:$T$501,'A.3 RASHODI FUNK'!$A48,'Unos rashoda P4'!I$3:I$501)</f>
        <v>0</v>
      </c>
      <c r="G48" s="342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2452 SVEUČILIŠTE J. J. STROSSMAYERA U OSIJEKU</v>
      </c>
    </row>
    <row r="49" spans="1:8">
      <c r="A49" s="225">
        <v>64</v>
      </c>
      <c r="B49" s="25" t="s">
        <v>4003</v>
      </c>
      <c r="C49" s="342"/>
      <c r="D49" s="342"/>
      <c r="E49" s="342">
        <f>SUMIF('Unos rashoda i izdataka'!$R$3:$R$501,'A.3 RASHODI FUNK'!$A49,'Unos rashoda i izdataka'!J$3:J$501)+SUMIF('Unos rashoda P4'!$T$3:$T$501,'A.3 RASHODI FUNK'!$A49,'Unos rashoda P4'!H$3:H$501)</f>
        <v>0</v>
      </c>
      <c r="F49" s="342">
        <f>SUMIF('Unos rashoda i izdataka'!$R$3:$R$501,'A.3 RASHODI FUNK'!$A49,'Unos rashoda i izdataka'!K$3:K$501)+SUMIF('Unos rashoda P4'!$T$3:$T$501,'A.3 RASHODI FUNK'!$A49,'Unos rashoda P4'!I$3:I$501)</f>
        <v>0</v>
      </c>
      <c r="G49" s="342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2452 SVEUČILIŠTE J. J. STROSSMAYERA U OSIJEKU</v>
      </c>
    </row>
    <row r="50" spans="1:8" ht="25.5">
      <c r="A50" s="225">
        <v>65</v>
      </c>
      <c r="B50" s="25" t="s">
        <v>4004</v>
      </c>
      <c r="C50" s="342"/>
      <c r="D50" s="342"/>
      <c r="E50" s="342">
        <f>SUMIF('Unos rashoda i izdataka'!$R$3:$R$501,'A.3 RASHODI FUNK'!$A50,'Unos rashoda i izdataka'!J$3:J$501)+SUMIF('Unos rashoda P4'!$T$3:$T$501,'A.3 RASHODI FUNK'!$A50,'Unos rashoda P4'!H$3:H$501)</f>
        <v>0</v>
      </c>
      <c r="F50" s="342">
        <f>SUMIF('Unos rashoda i izdataka'!$R$3:$R$501,'A.3 RASHODI FUNK'!$A50,'Unos rashoda i izdataka'!K$3:K$501)+SUMIF('Unos rashoda P4'!$T$3:$T$501,'A.3 RASHODI FUNK'!$A50,'Unos rashoda P4'!I$3:I$501)</f>
        <v>0</v>
      </c>
      <c r="G50" s="342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2452 SVEUČILIŠTE J. J. STROSSMAYERA U OSIJEKU</v>
      </c>
    </row>
    <row r="51" spans="1:8" ht="25.5">
      <c r="A51" s="225">
        <v>66</v>
      </c>
      <c r="B51" s="25" t="s">
        <v>4005</v>
      </c>
      <c r="C51" s="342"/>
      <c r="D51" s="342"/>
      <c r="E51" s="342">
        <f>SUMIF('Unos rashoda i izdataka'!$R$3:$R$501,'A.3 RASHODI FUNK'!$A51,'Unos rashoda i izdataka'!J$3:J$501)+SUMIF('Unos rashoda P4'!$T$3:$T$501,'A.3 RASHODI FUNK'!$A51,'Unos rashoda P4'!H$3:H$501)</f>
        <v>0</v>
      </c>
      <c r="F51" s="342">
        <f>SUMIF('Unos rashoda i izdataka'!$R$3:$R$501,'A.3 RASHODI FUNK'!$A51,'Unos rashoda i izdataka'!K$3:K$501)+SUMIF('Unos rashoda P4'!$T$3:$T$501,'A.3 RASHODI FUNK'!$A51,'Unos rashoda P4'!I$3:I$501)</f>
        <v>0</v>
      </c>
      <c r="G51" s="342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2452 SVEUČILIŠTE J. J. STROSSMAYERA U OSIJEKU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2452 SVEUČILIŠTE J. J. STROSSMAYERA U OSIJEKU</v>
      </c>
    </row>
    <row r="53" spans="1:8">
      <c r="A53" s="225">
        <v>71</v>
      </c>
      <c r="B53" s="25" t="s">
        <v>4007</v>
      </c>
      <c r="C53" s="342"/>
      <c r="D53" s="342"/>
      <c r="E53" s="342">
        <f>SUMIF('Unos rashoda i izdataka'!$R$3:$R$501,'A.3 RASHODI FUNK'!$A53,'Unos rashoda i izdataka'!J$3:J$501)+SUMIF('Unos rashoda P4'!$T$3:$T$501,'A.3 RASHODI FUNK'!$A53,'Unos rashoda P4'!H$3:H$501)</f>
        <v>0</v>
      </c>
      <c r="F53" s="342">
        <f>SUMIF('Unos rashoda i izdataka'!$R$3:$R$501,'A.3 RASHODI FUNK'!$A53,'Unos rashoda i izdataka'!K$3:K$501)+SUMIF('Unos rashoda P4'!$T$3:$T$501,'A.3 RASHODI FUNK'!$A53,'Unos rashoda P4'!I$3:I$501)</f>
        <v>0</v>
      </c>
      <c r="G53" s="342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2452 SVEUČILIŠTE J. J. STROSSMAYERA U OSIJEKU</v>
      </c>
    </row>
    <row r="54" spans="1:8">
      <c r="A54" s="225">
        <v>72</v>
      </c>
      <c r="B54" s="25" t="s">
        <v>4008</v>
      </c>
      <c r="C54" s="342"/>
      <c r="D54" s="342"/>
      <c r="E54" s="342">
        <f>SUMIF('Unos rashoda i izdataka'!$R$3:$R$501,'A.3 RASHODI FUNK'!$A54,'Unos rashoda i izdataka'!J$3:J$501)+SUMIF('Unos rashoda P4'!$T$3:$T$501,'A.3 RASHODI FUNK'!$A54,'Unos rashoda P4'!H$3:H$501)</f>
        <v>0</v>
      </c>
      <c r="F54" s="342">
        <f>SUMIF('Unos rashoda i izdataka'!$R$3:$R$501,'A.3 RASHODI FUNK'!$A54,'Unos rashoda i izdataka'!K$3:K$501)+SUMIF('Unos rashoda P4'!$T$3:$T$501,'A.3 RASHODI FUNK'!$A54,'Unos rashoda P4'!I$3:I$501)</f>
        <v>0</v>
      </c>
      <c r="G54" s="342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2452 SVEUČILIŠTE J. J. STROSSMAYERA U OSIJEKU</v>
      </c>
    </row>
    <row r="55" spans="1:8">
      <c r="A55" s="225">
        <v>73</v>
      </c>
      <c r="B55" s="25" t="s">
        <v>4009</v>
      </c>
      <c r="C55" s="342"/>
      <c r="D55" s="342"/>
      <c r="E55" s="342">
        <f>SUMIF('Unos rashoda i izdataka'!$R$3:$R$501,'A.3 RASHODI FUNK'!$A55,'Unos rashoda i izdataka'!J$3:J$501)+SUMIF('Unos rashoda P4'!$T$3:$T$501,'A.3 RASHODI FUNK'!$A55,'Unos rashoda P4'!H$3:H$501)</f>
        <v>0</v>
      </c>
      <c r="F55" s="342">
        <f>SUMIF('Unos rashoda i izdataka'!$R$3:$R$501,'A.3 RASHODI FUNK'!$A55,'Unos rashoda i izdataka'!K$3:K$501)+SUMIF('Unos rashoda P4'!$T$3:$T$501,'A.3 RASHODI FUNK'!$A55,'Unos rashoda P4'!I$3:I$501)</f>
        <v>0</v>
      </c>
      <c r="G55" s="342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2452 SVEUČILIŠTE J. J. STROSSMAYERA U OSIJEKU</v>
      </c>
    </row>
    <row r="56" spans="1:8">
      <c r="A56" s="225">
        <v>74</v>
      </c>
      <c r="B56" s="25" t="s">
        <v>4010</v>
      </c>
      <c r="C56" s="342"/>
      <c r="D56" s="342"/>
      <c r="E56" s="342">
        <f>SUMIF('Unos rashoda i izdataka'!$R$3:$R$501,'A.3 RASHODI FUNK'!$A56,'Unos rashoda i izdataka'!J$3:J$501)+SUMIF('Unos rashoda P4'!$T$3:$T$501,'A.3 RASHODI FUNK'!$A56,'Unos rashoda P4'!H$3:H$501)</f>
        <v>0</v>
      </c>
      <c r="F56" s="342">
        <f>SUMIF('Unos rashoda i izdataka'!$R$3:$R$501,'A.3 RASHODI FUNK'!$A56,'Unos rashoda i izdataka'!K$3:K$501)+SUMIF('Unos rashoda P4'!$T$3:$T$501,'A.3 RASHODI FUNK'!$A56,'Unos rashoda P4'!I$3:I$501)</f>
        <v>0</v>
      </c>
      <c r="G56" s="342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2452 SVEUČILIŠTE J. J. STROSSMAYERA U OSIJEKU</v>
      </c>
    </row>
    <row r="57" spans="1:8">
      <c r="A57" s="225">
        <v>75</v>
      </c>
      <c r="B57" s="25" t="s">
        <v>4011</v>
      </c>
      <c r="C57" s="342"/>
      <c r="D57" s="342"/>
      <c r="E57" s="342">
        <f>SUMIF('Unos rashoda i izdataka'!$R$3:$R$501,'A.3 RASHODI FUNK'!$A57,'Unos rashoda i izdataka'!J$3:J$501)+SUMIF('Unos rashoda P4'!$T$3:$T$501,'A.3 RASHODI FUNK'!$A57,'Unos rashoda P4'!H$3:H$501)</f>
        <v>0</v>
      </c>
      <c r="F57" s="342">
        <f>SUMIF('Unos rashoda i izdataka'!$R$3:$R$501,'A.3 RASHODI FUNK'!$A57,'Unos rashoda i izdataka'!K$3:K$501)+SUMIF('Unos rashoda P4'!$T$3:$T$501,'A.3 RASHODI FUNK'!$A57,'Unos rashoda P4'!I$3:I$501)</f>
        <v>0</v>
      </c>
      <c r="G57" s="342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2452 SVEUČILIŠTE J. J. STROSSMAYERA U OSIJEKU</v>
      </c>
    </row>
    <row r="58" spans="1:8" ht="25.5">
      <c r="A58" s="225">
        <v>76</v>
      </c>
      <c r="B58" s="25" t="s">
        <v>4012</v>
      </c>
      <c r="C58" s="342"/>
      <c r="D58" s="342"/>
      <c r="E58" s="342">
        <f>SUMIF('Unos rashoda i izdataka'!$R$3:$R$501,'A.3 RASHODI FUNK'!$A58,'Unos rashoda i izdataka'!J$3:J$501)+SUMIF('Unos rashoda P4'!$T$3:$T$501,'A.3 RASHODI FUNK'!$A58,'Unos rashoda P4'!H$3:H$501)</f>
        <v>0</v>
      </c>
      <c r="F58" s="342">
        <f>SUMIF('Unos rashoda i izdataka'!$R$3:$R$501,'A.3 RASHODI FUNK'!$A58,'Unos rashoda i izdataka'!K$3:K$501)+SUMIF('Unos rashoda P4'!$T$3:$T$501,'A.3 RASHODI FUNK'!$A58,'Unos rashoda P4'!I$3:I$501)</f>
        <v>0</v>
      </c>
      <c r="G58" s="342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2452 SVEUČILIŠTE J. J. STROSSMAYERA U OSIJEKU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2452 SVEUČILIŠTE J. J. STROSSMAYERA U OSIJEKU</v>
      </c>
    </row>
    <row r="60" spans="1:8">
      <c r="A60" s="225">
        <v>81</v>
      </c>
      <c r="B60" s="25" t="s">
        <v>4014</v>
      </c>
      <c r="C60" s="342"/>
      <c r="D60" s="342"/>
      <c r="E60" s="342">
        <f>SUMIF('Unos rashoda i izdataka'!$R$3:$R$501,'A.3 RASHODI FUNK'!$A60,'Unos rashoda i izdataka'!J$3:J$501)+SUMIF('Unos rashoda P4'!$T$3:$T$501,'A.3 RASHODI FUNK'!$A60,'Unos rashoda P4'!H$3:H$501)</f>
        <v>0</v>
      </c>
      <c r="F60" s="342">
        <f>SUMIF('Unos rashoda i izdataka'!$R$3:$R$501,'A.3 RASHODI FUNK'!$A60,'Unos rashoda i izdataka'!K$3:K$501)+SUMIF('Unos rashoda P4'!$T$3:$T$501,'A.3 RASHODI FUNK'!$A60,'Unos rashoda P4'!I$3:I$501)</f>
        <v>0</v>
      </c>
      <c r="G60" s="342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2452 SVEUČILIŠTE J. J. STROSSMAYERA U OSIJEKU</v>
      </c>
    </row>
    <row r="61" spans="1:8">
      <c r="A61" s="225">
        <v>82</v>
      </c>
      <c r="B61" s="25" t="s">
        <v>3932</v>
      </c>
      <c r="C61" s="342"/>
      <c r="D61" s="342"/>
      <c r="E61" s="342">
        <f>SUMIF('Unos rashoda i izdataka'!$R$3:$R$501,'A.3 RASHODI FUNK'!$A61,'Unos rashoda i izdataka'!J$3:J$501)+SUMIF('Unos rashoda P4'!$T$3:$T$501,'A.3 RASHODI FUNK'!$A61,'Unos rashoda P4'!H$3:H$501)</f>
        <v>0</v>
      </c>
      <c r="F61" s="342">
        <f>SUMIF('Unos rashoda i izdataka'!$R$3:$R$501,'A.3 RASHODI FUNK'!$A61,'Unos rashoda i izdataka'!K$3:K$501)+SUMIF('Unos rashoda P4'!$T$3:$T$501,'A.3 RASHODI FUNK'!$A61,'Unos rashoda P4'!I$3:I$501)</f>
        <v>0</v>
      </c>
      <c r="G61" s="342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2452 SVEUČILIŠTE J. J. STROSSMAYERA U OSIJEKU</v>
      </c>
    </row>
    <row r="62" spans="1:8">
      <c r="A62" s="225">
        <v>83</v>
      </c>
      <c r="B62" s="25" t="s">
        <v>4015</v>
      </c>
      <c r="C62" s="342"/>
      <c r="D62" s="342"/>
      <c r="E62" s="342">
        <f>SUMIF('Unos rashoda i izdataka'!$R$3:$R$501,'A.3 RASHODI FUNK'!$A62,'Unos rashoda i izdataka'!J$3:J$501)+SUMIF('Unos rashoda P4'!$T$3:$T$501,'A.3 RASHODI FUNK'!$A62,'Unos rashoda P4'!H$3:H$501)</f>
        <v>0</v>
      </c>
      <c r="F62" s="342">
        <f>SUMIF('Unos rashoda i izdataka'!$R$3:$R$501,'A.3 RASHODI FUNK'!$A62,'Unos rashoda i izdataka'!K$3:K$501)+SUMIF('Unos rashoda P4'!$T$3:$T$501,'A.3 RASHODI FUNK'!$A62,'Unos rashoda P4'!I$3:I$501)</f>
        <v>0</v>
      </c>
      <c r="G62" s="342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2452 SVEUČILIŠTE J. J. STROSSMAYERA U OSIJEKU</v>
      </c>
    </row>
    <row r="63" spans="1:8">
      <c r="A63" s="225">
        <v>84</v>
      </c>
      <c r="B63" s="25" t="s">
        <v>4016</v>
      </c>
      <c r="C63" s="342"/>
      <c r="D63" s="342"/>
      <c r="E63" s="342">
        <f>SUMIF('Unos rashoda i izdataka'!$R$3:$R$501,'A.3 RASHODI FUNK'!$A63,'Unos rashoda i izdataka'!J$3:J$501)+SUMIF('Unos rashoda P4'!$T$3:$T$501,'A.3 RASHODI FUNK'!$A63,'Unos rashoda P4'!H$3:H$501)</f>
        <v>0</v>
      </c>
      <c r="F63" s="342">
        <f>SUMIF('Unos rashoda i izdataka'!$R$3:$R$501,'A.3 RASHODI FUNK'!$A63,'Unos rashoda i izdataka'!K$3:K$501)+SUMIF('Unos rashoda P4'!$T$3:$T$501,'A.3 RASHODI FUNK'!$A63,'Unos rashoda P4'!I$3:I$501)</f>
        <v>0</v>
      </c>
      <c r="G63" s="342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2452 SVEUČILIŠTE J. J. STROSSMAYERA U OSIJEKU</v>
      </c>
    </row>
    <row r="64" spans="1:8">
      <c r="A64" s="225">
        <v>85</v>
      </c>
      <c r="B64" s="25" t="s">
        <v>4017</v>
      </c>
      <c r="C64" s="342"/>
      <c r="D64" s="342"/>
      <c r="E64" s="342">
        <f>SUMIF('Unos rashoda i izdataka'!$R$3:$R$501,'A.3 RASHODI FUNK'!$A64,'Unos rashoda i izdataka'!J$3:J$501)+SUMIF('Unos rashoda P4'!$T$3:$T$501,'A.3 RASHODI FUNK'!$A64,'Unos rashoda P4'!H$3:H$501)</f>
        <v>0</v>
      </c>
      <c r="F64" s="342">
        <f>SUMIF('Unos rashoda i izdataka'!$R$3:$R$501,'A.3 RASHODI FUNK'!$A64,'Unos rashoda i izdataka'!K$3:K$501)+SUMIF('Unos rashoda P4'!$T$3:$T$501,'A.3 RASHODI FUNK'!$A64,'Unos rashoda P4'!I$3:I$501)</f>
        <v>0</v>
      </c>
      <c r="G64" s="342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2452 SVEUČILIŠTE J. J. STROSSMAYERA U OSIJEKU</v>
      </c>
    </row>
    <row r="65" spans="1:8" ht="25.5">
      <c r="A65" s="225">
        <v>86</v>
      </c>
      <c r="B65" s="25" t="s">
        <v>4018</v>
      </c>
      <c r="C65" s="342"/>
      <c r="D65" s="342"/>
      <c r="E65" s="342">
        <f>SUMIF('Unos rashoda i izdataka'!$R$3:$R$501,'A.3 RASHODI FUNK'!$A65,'Unos rashoda i izdataka'!J$3:J$501)+SUMIF('Unos rashoda P4'!$T$3:$T$501,'A.3 RASHODI FUNK'!$A65,'Unos rashoda P4'!H$3:H$501)</f>
        <v>0</v>
      </c>
      <c r="F65" s="342">
        <f>SUMIF('Unos rashoda i izdataka'!$R$3:$R$501,'A.3 RASHODI FUNK'!$A65,'Unos rashoda i izdataka'!K$3:K$501)+SUMIF('Unos rashoda P4'!$T$3:$T$501,'A.3 RASHODI FUNK'!$A65,'Unos rashoda P4'!I$3:I$501)</f>
        <v>0</v>
      </c>
      <c r="G65" s="342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2452 SVEUČILIŠTE J. J. STROSSMAYERA U OSIJEKU</v>
      </c>
    </row>
    <row r="66" spans="1:8">
      <c r="A66" s="209">
        <v>9</v>
      </c>
      <c r="B66" s="36" t="s">
        <v>4019</v>
      </c>
      <c r="C66" s="233">
        <f t="shared" ref="C66:D66" si="10">SUM(C67:C74)</f>
        <v>11319991</v>
      </c>
      <c r="D66" s="233">
        <f t="shared" si="10"/>
        <v>10717299</v>
      </c>
      <c r="E66" s="233">
        <f>SUM(E67:E74)</f>
        <v>10953272</v>
      </c>
      <c r="F66" s="233">
        <f>SUM(F67:F74)</f>
        <v>9807670</v>
      </c>
      <c r="G66" s="233">
        <f>SUM(G67:G74)</f>
        <v>9502596</v>
      </c>
      <c r="H66" s="315" t="str">
        <f>'OPĆI DIO'!$C$1</f>
        <v>2452 SVEUČILIŠTE J. J. STROSSMAYERA U OSIJEKU</v>
      </c>
    </row>
    <row r="67" spans="1:8">
      <c r="A67" s="225">
        <v>91</v>
      </c>
      <c r="B67" s="25" t="s">
        <v>4020</v>
      </c>
      <c r="C67" s="342"/>
      <c r="D67" s="342"/>
      <c r="E67" s="342">
        <f>SUMIF('Unos rashoda i izdataka'!$R$3:$R$501,'A.3 RASHODI FUNK'!$A67,'Unos rashoda i izdataka'!J$3:J$501)+SUMIF('Unos rashoda P4'!$T$3:$T$501,'A.3 RASHODI FUNK'!$A67,'Unos rashoda P4'!H$3:H$501)</f>
        <v>0</v>
      </c>
      <c r="F67" s="342">
        <f>SUMIF('Unos rashoda i izdataka'!$R$3:$R$501,'A.3 RASHODI FUNK'!$A67,'Unos rashoda i izdataka'!K$3:K$501)+SUMIF('Unos rashoda P4'!$T$3:$T$501,'A.3 RASHODI FUNK'!$A67,'Unos rashoda P4'!I$3:I$501)</f>
        <v>0</v>
      </c>
      <c r="G67" s="342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2452 SVEUČILIŠTE J. J. STROSSMAYERA U OSIJEKU</v>
      </c>
    </row>
    <row r="68" spans="1:8">
      <c r="A68" s="225">
        <v>92</v>
      </c>
      <c r="B68" s="25" t="s">
        <v>4021</v>
      </c>
      <c r="C68" s="342"/>
      <c r="D68" s="342"/>
      <c r="E68" s="342">
        <f>SUMIF('Unos rashoda i izdataka'!$R$3:$R$501,'A.3 RASHODI FUNK'!$A68,'Unos rashoda i izdataka'!J$3:J$501)+SUMIF('Unos rashoda P4'!$T$3:$T$501,'A.3 RASHODI FUNK'!$A68,'Unos rashoda P4'!H$3:H$501)</f>
        <v>0</v>
      </c>
      <c r="F68" s="342">
        <f>SUMIF('Unos rashoda i izdataka'!$R$3:$R$501,'A.3 RASHODI FUNK'!$A68,'Unos rashoda i izdataka'!K$3:K$501)+SUMIF('Unos rashoda P4'!$T$3:$T$501,'A.3 RASHODI FUNK'!$A68,'Unos rashoda P4'!I$3:I$501)</f>
        <v>0</v>
      </c>
      <c r="G68" s="342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2452 SVEUČILIŠTE J. J. STROSSMAYERA U OSIJEKU</v>
      </c>
    </row>
    <row r="69" spans="1:8" ht="26.25" customHeight="1">
      <c r="A69" s="225">
        <v>93</v>
      </c>
      <c r="B69" s="25" t="s">
        <v>4022</v>
      </c>
      <c r="C69" s="342"/>
      <c r="D69" s="342"/>
      <c r="E69" s="342">
        <f>SUMIF('Unos rashoda i izdataka'!$R$3:$R$501,'A.3 RASHODI FUNK'!$A69,'Unos rashoda i izdataka'!J$3:J$501)+SUMIF('Unos rashoda P4'!$T$3:$T$501,'A.3 RASHODI FUNK'!$A69,'Unos rashoda P4'!H$3:H$501)</f>
        <v>0</v>
      </c>
      <c r="F69" s="342">
        <f>SUMIF('Unos rashoda i izdataka'!$R$3:$R$501,'A.3 RASHODI FUNK'!$A69,'Unos rashoda i izdataka'!K$3:K$501)+SUMIF('Unos rashoda P4'!$T$3:$T$501,'A.3 RASHODI FUNK'!$A69,'Unos rashoda P4'!I$3:I$501)</f>
        <v>0</v>
      </c>
      <c r="G69" s="342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2452 SVEUČILIŠTE J. J. STROSSMAYERA U OSIJEKU</v>
      </c>
    </row>
    <row r="70" spans="1:8">
      <c r="A70" s="225">
        <v>94</v>
      </c>
      <c r="B70" s="25" t="s">
        <v>4023</v>
      </c>
      <c r="C70" s="342">
        <f>1179039+6735212+2359588+999699</f>
        <v>11273538</v>
      </c>
      <c r="D70" s="342">
        <f>1212390+8452779+1005677</f>
        <v>10670846</v>
      </c>
      <c r="E70" s="342">
        <v>10894272</v>
      </c>
      <c r="F70" s="342">
        <v>9807670</v>
      </c>
      <c r="G70" s="342">
        <v>9502596</v>
      </c>
      <c r="H70" s="315" t="str">
        <f>'OPĆI DIO'!$C$1</f>
        <v>2452 SVEUČILIŠTE J. J. STROSSMAYERA U OSIJEKU</v>
      </c>
    </row>
    <row r="71" spans="1:8">
      <c r="A71" s="225">
        <v>95</v>
      </c>
      <c r="B71" s="25" t="s">
        <v>3942</v>
      </c>
      <c r="C71" s="342"/>
      <c r="D71" s="342"/>
      <c r="E71" s="342">
        <f>SUMIF('Unos rashoda i izdataka'!$R$3:$R$501,'A.3 RASHODI FUNK'!$A71,'Unos rashoda i izdataka'!J$3:J$501)+SUMIF('Unos rashoda P4'!$T$3:$T$501,'A.3 RASHODI FUNK'!$A71,'Unos rashoda P4'!H$3:H$501)</f>
        <v>0</v>
      </c>
      <c r="F71" s="342">
        <f>SUMIF('Unos rashoda i izdataka'!$R$3:$R$501,'A.3 RASHODI FUNK'!$A71,'Unos rashoda i izdataka'!K$3:K$501)+SUMIF('Unos rashoda P4'!$T$3:$T$501,'A.3 RASHODI FUNK'!$A71,'Unos rashoda P4'!I$3:I$501)</f>
        <v>0</v>
      </c>
      <c r="G71" s="342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2452 SVEUČILIŠTE J. J. STROSSMAYERA U OSIJEKU</v>
      </c>
    </row>
    <row r="72" spans="1:8">
      <c r="A72" s="225">
        <v>96</v>
      </c>
      <c r="B72" s="25" t="s">
        <v>3940</v>
      </c>
      <c r="C72" s="342">
        <v>46453</v>
      </c>
      <c r="D72" s="342">
        <v>46453</v>
      </c>
      <c r="E72" s="342">
        <f>SUMIF('Unos rashoda i izdataka'!$R$3:$R$501,'A.3 RASHODI FUNK'!$A72,'Unos rashoda i izdataka'!J$3:J$501)+SUMIF('Unos rashoda P4'!$T$3:$T$501,'A.3 RASHODI FUNK'!$A72,'Unos rashoda P4'!H$3:H$501)</f>
        <v>59000</v>
      </c>
      <c r="F72" s="342">
        <f>SUMIF('Unos rashoda i izdataka'!$R$3:$R$501,'A.3 RASHODI FUNK'!$A72,'Unos rashoda i izdataka'!K$3:K$501)+SUMIF('Unos rashoda P4'!$T$3:$T$501,'A.3 RASHODI FUNK'!$A72,'Unos rashoda P4'!I$3:I$501)</f>
        <v>0</v>
      </c>
      <c r="G72" s="342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2452 SVEUČILIŠTE J. J. STROSSMAYERA U OSIJEKU</v>
      </c>
    </row>
    <row r="73" spans="1:8">
      <c r="A73" s="225">
        <v>97</v>
      </c>
      <c r="B73" s="25" t="s">
        <v>3926</v>
      </c>
      <c r="C73" s="342"/>
      <c r="D73" s="342"/>
      <c r="E73" s="342">
        <f>SUMIF('Unos rashoda i izdataka'!$R$3:$R$501,'A.3 RASHODI FUNK'!$A73,'Unos rashoda i izdataka'!J$3:J$501)+SUMIF('Unos rashoda P4'!$T$3:$T$501,'A.3 RASHODI FUNK'!$A73,'Unos rashoda P4'!H$3:H$501)</f>
        <v>0</v>
      </c>
      <c r="F73" s="342">
        <f>SUMIF('Unos rashoda i izdataka'!$R$3:$R$501,'A.3 RASHODI FUNK'!$A73,'Unos rashoda i izdataka'!K$3:K$501)+SUMIF('Unos rashoda P4'!$T$3:$T$501,'A.3 RASHODI FUNK'!$A73,'Unos rashoda P4'!I$3:I$501)</f>
        <v>0</v>
      </c>
      <c r="G73" s="342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2452 SVEUČILIŠTE J. J. STROSSMAYERA U OSIJEKU</v>
      </c>
    </row>
    <row r="74" spans="1:8">
      <c r="A74" s="225">
        <v>98</v>
      </c>
      <c r="B74" s="25" t="s">
        <v>3928</v>
      </c>
      <c r="C74" s="342"/>
      <c r="D74" s="342"/>
      <c r="E74" s="342">
        <f>SUMIF('Unos rashoda i izdataka'!$R$3:$R$501,'A.3 RASHODI FUNK'!$A74,'Unos rashoda i izdataka'!J$3:J$501)+SUMIF('Unos rashoda P4'!$T$3:$T$501,'A.3 RASHODI FUNK'!$A74,'Unos rashoda P4'!H$3:H$501)</f>
        <v>0</v>
      </c>
      <c r="F74" s="342">
        <f>SUMIF('Unos rashoda i izdataka'!$R$3:$R$501,'A.3 RASHODI FUNK'!$A74,'Unos rashoda i izdataka'!K$3:K$501)+SUMIF('Unos rashoda P4'!$T$3:$T$501,'A.3 RASHODI FUNK'!$A74,'Unos rashoda P4'!I$3:I$501)</f>
        <v>0</v>
      </c>
      <c r="G74" s="342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2452 SVEUČILIŠTE J. J. STROSSMAYERA U OSIJEKU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2452 SVEUČILIŠTE J. J. STROSSMAYERA U OSIJEKU</v>
      </c>
    </row>
    <row r="76" spans="1:8">
      <c r="A76" s="225">
        <v>101</v>
      </c>
      <c r="B76" s="25" t="s">
        <v>4025</v>
      </c>
      <c r="C76" s="342"/>
      <c r="D76" s="342"/>
      <c r="E76" s="342">
        <f>SUMIF('Unos rashoda i izdataka'!$R$3:$R$501,'A.3 RASHODI FUNK'!$A76,'Unos rashoda i izdataka'!J$3:J$501)+SUMIF('Unos rashoda P4'!$T$3:$T$501,'A.3 RASHODI FUNK'!$A76,'Unos rashoda P4'!H$3:H$501)</f>
        <v>0</v>
      </c>
      <c r="F76" s="342">
        <f>SUMIF('Unos rashoda i izdataka'!$R$3:$R$501,'A.3 RASHODI FUNK'!$A76,'Unos rashoda i izdataka'!K$3:K$501)+SUMIF('Unos rashoda P4'!$T$3:$T$501,'A.3 RASHODI FUNK'!$A76,'Unos rashoda P4'!I$3:I$501)</f>
        <v>0</v>
      </c>
      <c r="G76" s="342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2452 SVEUČILIŠTE J. J. STROSSMAYERA U OSIJEKU</v>
      </c>
    </row>
    <row r="77" spans="1:8">
      <c r="A77" s="225">
        <v>102</v>
      </c>
      <c r="B77" s="25" t="s">
        <v>4026</v>
      </c>
      <c r="C77" s="342"/>
      <c r="D77" s="342"/>
      <c r="E77" s="342">
        <f>SUMIF('Unos rashoda i izdataka'!$R$3:$R$501,'A.3 RASHODI FUNK'!$A77,'Unos rashoda i izdataka'!J$3:J$501)+SUMIF('Unos rashoda P4'!$T$3:$T$501,'A.3 RASHODI FUNK'!$A77,'Unos rashoda P4'!H$3:H$501)</f>
        <v>0</v>
      </c>
      <c r="F77" s="342">
        <f>SUMIF('Unos rashoda i izdataka'!$R$3:$R$501,'A.3 RASHODI FUNK'!$A77,'Unos rashoda i izdataka'!K$3:K$501)+SUMIF('Unos rashoda P4'!$T$3:$T$501,'A.3 RASHODI FUNK'!$A77,'Unos rashoda P4'!I$3:I$501)</f>
        <v>0</v>
      </c>
      <c r="G77" s="342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2452 SVEUČILIŠTE J. J. STROSSMAYERA U OSIJEKU</v>
      </c>
    </row>
    <row r="78" spans="1:8">
      <c r="A78" s="225">
        <v>103</v>
      </c>
      <c r="B78" s="25" t="s">
        <v>4027</v>
      </c>
      <c r="C78" s="342"/>
      <c r="D78" s="342"/>
      <c r="E78" s="342">
        <f>SUMIF('Unos rashoda i izdataka'!$R$3:$R$501,'A.3 RASHODI FUNK'!$A78,'Unos rashoda i izdataka'!J$3:J$501)+SUMIF('Unos rashoda P4'!$T$3:$T$501,'A.3 RASHODI FUNK'!$A78,'Unos rashoda P4'!H$3:H$501)</f>
        <v>0</v>
      </c>
      <c r="F78" s="342">
        <f>SUMIF('Unos rashoda i izdataka'!$R$3:$R$501,'A.3 RASHODI FUNK'!$A78,'Unos rashoda i izdataka'!K$3:K$501)+SUMIF('Unos rashoda P4'!$T$3:$T$501,'A.3 RASHODI FUNK'!$A78,'Unos rashoda P4'!I$3:I$501)</f>
        <v>0</v>
      </c>
      <c r="G78" s="342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2452 SVEUČILIŠTE J. J. STROSSMAYERA U OSIJEKU</v>
      </c>
    </row>
    <row r="79" spans="1:8">
      <c r="A79" s="225">
        <v>104</v>
      </c>
      <c r="B79" s="25" t="s">
        <v>4028</v>
      </c>
      <c r="C79" s="342"/>
      <c r="D79" s="342"/>
      <c r="E79" s="342">
        <f>SUMIF('Unos rashoda i izdataka'!$R$3:$R$501,'A.3 RASHODI FUNK'!$A79,'Unos rashoda i izdataka'!J$3:J$501)+SUMIF('Unos rashoda P4'!$T$3:$T$501,'A.3 RASHODI FUNK'!$A79,'Unos rashoda P4'!H$3:H$501)</f>
        <v>0</v>
      </c>
      <c r="F79" s="342">
        <f>SUMIF('Unos rashoda i izdataka'!$R$3:$R$501,'A.3 RASHODI FUNK'!$A79,'Unos rashoda i izdataka'!K$3:K$501)+SUMIF('Unos rashoda P4'!$T$3:$T$501,'A.3 RASHODI FUNK'!$A79,'Unos rashoda P4'!I$3:I$501)</f>
        <v>0</v>
      </c>
      <c r="G79" s="342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2452 SVEUČILIŠTE J. J. STROSSMAYERA U OSIJEKU</v>
      </c>
    </row>
    <row r="80" spans="1:8">
      <c r="A80" s="225">
        <v>105</v>
      </c>
      <c r="B80" s="25" t="s">
        <v>4029</v>
      </c>
      <c r="C80" s="342"/>
      <c r="D80" s="342"/>
      <c r="E80" s="342">
        <f>SUMIF('Unos rashoda i izdataka'!$R$3:$R$501,'A.3 RASHODI FUNK'!$A80,'Unos rashoda i izdataka'!J$3:J$501)+SUMIF('Unos rashoda P4'!$T$3:$T$501,'A.3 RASHODI FUNK'!$A80,'Unos rashoda P4'!H$3:H$501)</f>
        <v>0</v>
      </c>
      <c r="F80" s="342">
        <f>SUMIF('Unos rashoda i izdataka'!$R$3:$R$501,'A.3 RASHODI FUNK'!$A80,'Unos rashoda i izdataka'!K$3:K$501)+SUMIF('Unos rashoda P4'!$T$3:$T$501,'A.3 RASHODI FUNK'!$A80,'Unos rashoda P4'!I$3:I$501)</f>
        <v>0</v>
      </c>
      <c r="G80" s="342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2452 SVEUČILIŠTE J. J. STROSSMAYERA U OSIJEKU</v>
      </c>
    </row>
    <row r="81" spans="1:8">
      <c r="A81" s="225">
        <v>106</v>
      </c>
      <c r="B81" s="25" t="s">
        <v>4030</v>
      </c>
      <c r="C81" s="342"/>
      <c r="D81" s="342"/>
      <c r="E81" s="342">
        <f>SUMIF('Unos rashoda i izdataka'!$R$3:$R$501,'A.3 RASHODI FUNK'!$A81,'Unos rashoda i izdataka'!J$3:J$501)+SUMIF('Unos rashoda P4'!$T$3:$T$501,'A.3 RASHODI FUNK'!$A81,'Unos rashoda P4'!H$3:H$501)</f>
        <v>0</v>
      </c>
      <c r="F81" s="342">
        <f>SUMIF('Unos rashoda i izdataka'!$R$3:$R$501,'A.3 RASHODI FUNK'!$A81,'Unos rashoda i izdataka'!K$3:K$501)+SUMIF('Unos rashoda P4'!$T$3:$T$501,'A.3 RASHODI FUNK'!$A81,'Unos rashoda P4'!I$3:I$501)</f>
        <v>0</v>
      </c>
      <c r="G81" s="342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2452 SVEUČILIŠTE J. J. STROSSMAYERA U OSIJEKU</v>
      </c>
    </row>
    <row r="82" spans="1:8" ht="25.5">
      <c r="A82" s="225">
        <v>107</v>
      </c>
      <c r="B82" s="25" t="s">
        <v>4031</v>
      </c>
      <c r="C82" s="342"/>
      <c r="D82" s="342"/>
      <c r="E82" s="342">
        <f>SUMIF('Unos rashoda i izdataka'!$R$3:$R$501,'A.3 RASHODI FUNK'!$A82,'Unos rashoda i izdataka'!J$3:J$501)+SUMIF('Unos rashoda P4'!$T$3:$T$501,'A.3 RASHODI FUNK'!$A82,'Unos rashoda P4'!H$3:H$501)</f>
        <v>0</v>
      </c>
      <c r="F82" s="342">
        <f>SUMIF('Unos rashoda i izdataka'!$R$3:$R$501,'A.3 RASHODI FUNK'!$A82,'Unos rashoda i izdataka'!K$3:K$501)+SUMIF('Unos rashoda P4'!$T$3:$T$501,'A.3 RASHODI FUNK'!$A82,'Unos rashoda P4'!I$3:I$501)</f>
        <v>0</v>
      </c>
      <c r="G82" s="342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2452 SVEUČILIŠTE J. J. STROSSMAYERA U OSIJEKU</v>
      </c>
    </row>
    <row r="83" spans="1:8">
      <c r="A83" s="225">
        <v>108</v>
      </c>
      <c r="B83" s="25" t="s">
        <v>4032</v>
      </c>
      <c r="C83" s="342"/>
      <c r="D83" s="342"/>
      <c r="E83" s="342">
        <f>SUMIF('Unos rashoda i izdataka'!$R$3:$R$501,'A.3 RASHODI FUNK'!$A83,'Unos rashoda i izdataka'!J$3:J$501)+SUMIF('Unos rashoda P4'!$T$3:$T$501,'A.3 RASHODI FUNK'!$A83,'Unos rashoda P4'!H$3:H$501)</f>
        <v>0</v>
      </c>
      <c r="F83" s="342">
        <f>SUMIF('Unos rashoda i izdataka'!$R$3:$R$501,'A.3 RASHODI FUNK'!$A83,'Unos rashoda i izdataka'!K$3:K$501)+SUMIF('Unos rashoda P4'!$T$3:$T$501,'A.3 RASHODI FUNK'!$A83,'Unos rashoda P4'!I$3:I$501)</f>
        <v>0</v>
      </c>
      <c r="G83" s="342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2452 SVEUČILIŠTE J. J. STROSSMAYERA U OSIJEKU</v>
      </c>
    </row>
    <row r="84" spans="1:8" ht="25.5">
      <c r="A84" s="225">
        <v>109</v>
      </c>
      <c r="B84" s="25" t="s">
        <v>4033</v>
      </c>
      <c r="C84" s="342"/>
      <c r="D84" s="342"/>
      <c r="E84" s="342">
        <f>SUMIF('Unos rashoda i izdataka'!$R$3:$R$501,'A.3 RASHODI FUNK'!$A84,'Unos rashoda i izdataka'!J$3:J$501)+SUMIF('Unos rashoda P4'!$T$3:$T$501,'A.3 RASHODI FUNK'!$A84,'Unos rashoda P4'!H$3:H$501)</f>
        <v>0</v>
      </c>
      <c r="F84" s="342">
        <f>SUMIF('Unos rashoda i izdataka'!$R$3:$R$501,'A.3 RASHODI FUNK'!$A84,'Unos rashoda i izdataka'!K$3:K$501)+SUMIF('Unos rashoda P4'!$T$3:$T$501,'A.3 RASHODI FUNK'!$A84,'Unos rashoda P4'!I$3:I$501)</f>
        <v>0</v>
      </c>
      <c r="G84" s="342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2452 SVEUČILIŠTE J. J. STROSSMAYERA U OSIJEKU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400" t="s">
        <v>3883</v>
      </c>
      <c r="B2" s="400"/>
      <c r="C2" s="400"/>
      <c r="D2" s="400"/>
      <c r="E2" s="400"/>
      <c r="F2" s="400"/>
      <c r="G2" s="400"/>
      <c r="H2" s="400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400" t="s">
        <v>3909</v>
      </c>
      <c r="B4" s="400"/>
      <c r="C4" s="400"/>
      <c r="D4" s="400"/>
      <c r="E4" s="400"/>
      <c r="F4" s="400"/>
      <c r="G4" s="400"/>
      <c r="H4" s="400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400" t="s">
        <v>4809</v>
      </c>
      <c r="B6" s="400"/>
      <c r="C6" s="400"/>
      <c r="D6" s="400"/>
      <c r="E6" s="400"/>
      <c r="F6" s="400"/>
      <c r="G6" s="400"/>
      <c r="H6" s="400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401" t="s">
        <v>4778</v>
      </c>
      <c r="B8" s="402"/>
      <c r="C8" s="403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4">
        <v>1</v>
      </c>
      <c r="B9" s="405"/>
      <c r="C9" s="406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36">
        <f t="shared" ref="D10:E10" si="0">SUM(D11:D14)</f>
        <v>0</v>
      </c>
      <c r="E10" s="336">
        <f t="shared" si="0"/>
        <v>0</v>
      </c>
      <c r="F10" s="336">
        <f>SUM(F11:F14)</f>
        <v>150000</v>
      </c>
      <c r="G10" s="336">
        <f t="shared" ref="G10:H10" si="1">SUM(G11:G14)</f>
        <v>0</v>
      </c>
      <c r="H10" s="336">
        <f t="shared" si="1"/>
        <v>0</v>
      </c>
      <c r="I10" s="315" t="str">
        <f>'OPĆI DIO'!$C$1</f>
        <v>2452 SVEUČILIŠTE J. J. STROSSMAYERA U OSIJEKU</v>
      </c>
    </row>
    <row r="11" spans="1:10">
      <c r="A11" s="261"/>
      <c r="B11" s="262">
        <v>81</v>
      </c>
      <c r="C11" s="262" t="s">
        <v>3903</v>
      </c>
      <c r="D11" s="334">
        <v>0</v>
      </c>
      <c r="E11" s="334">
        <v>0</v>
      </c>
      <c r="F11" s="333">
        <f>SUMIF('Unos prihoda i primitaka'!$L$3:$L$501,$B11,'Unos prihoda i primitaka'!G$3:G$501)</f>
        <v>150000</v>
      </c>
      <c r="G11" s="333">
        <f>SUMIF('Unos prihoda i primitaka'!$L$3:$L$501,$B11,'Unos prihoda i primitaka'!H$3:H$501)</f>
        <v>0</v>
      </c>
      <c r="H11" s="333">
        <f>SUMIF('Unos prihoda i primitaka'!$L$3:$L$501,$B11,'Unos prihoda i primitaka'!I$3:I$501)</f>
        <v>0</v>
      </c>
      <c r="I11" s="315" t="str">
        <f>'OPĆI DIO'!$C$1</f>
        <v>2452 SVEUČILIŠTE J. J. STROSSMAYERA U OSIJEKU</v>
      </c>
    </row>
    <row r="12" spans="1:10">
      <c r="A12" s="261"/>
      <c r="B12" s="262">
        <v>82</v>
      </c>
      <c r="C12" s="262" t="s">
        <v>3904</v>
      </c>
      <c r="D12" s="334">
        <v>0</v>
      </c>
      <c r="E12" s="334">
        <v>0</v>
      </c>
      <c r="F12" s="333">
        <f>SUMIF('Unos prihoda i primitaka'!$L$3:$L$501,$B12,'Unos prihoda i primitaka'!G$3:G$501)</f>
        <v>0</v>
      </c>
      <c r="G12" s="333">
        <f>SUMIF('Unos prihoda i primitaka'!$L$3:$L$501,$B12,'Unos prihoda i primitaka'!H$3:H$501)</f>
        <v>0</v>
      </c>
      <c r="H12" s="333">
        <f>SUMIF('Unos prihoda i primitaka'!$L$3:$L$501,$B12,'Unos prihoda i primitaka'!I$3:I$501)</f>
        <v>0</v>
      </c>
      <c r="I12" s="315" t="str">
        <f>'OPĆI DIO'!$C$1</f>
        <v>2452 SVEUČILIŠTE J. J. STROSSMAYERA U OSIJEKU</v>
      </c>
    </row>
    <row r="13" spans="1:10">
      <c r="A13" s="261"/>
      <c r="B13" s="262">
        <v>83</v>
      </c>
      <c r="C13" s="262" t="s">
        <v>3905</v>
      </c>
      <c r="D13" s="334">
        <v>0</v>
      </c>
      <c r="E13" s="334">
        <v>0</v>
      </c>
      <c r="F13" s="333">
        <f>SUMIF('Unos prihoda i primitaka'!$L$3:$L$501,$B13,'Unos prihoda i primitaka'!G$3:G$501)</f>
        <v>0</v>
      </c>
      <c r="G13" s="333">
        <f>SUMIF('Unos prihoda i primitaka'!$L$3:$L$501,$B13,'Unos prihoda i primitaka'!H$3:H$501)</f>
        <v>0</v>
      </c>
      <c r="H13" s="333">
        <f>SUMIF('Unos prihoda i primitaka'!$L$3:$L$501,$B13,'Unos prihoda i primitaka'!I$3:I$501)</f>
        <v>0</v>
      </c>
      <c r="I13" s="315" t="str">
        <f>'OPĆI DIO'!$C$1</f>
        <v>2452 SVEUČILIŠTE J. J. STROSSMAYERA U OSIJEKU</v>
      </c>
    </row>
    <row r="14" spans="1:10">
      <c r="A14" s="261"/>
      <c r="B14" s="262">
        <v>84</v>
      </c>
      <c r="C14" s="262" t="s">
        <v>3906</v>
      </c>
      <c r="D14" s="334">
        <v>0</v>
      </c>
      <c r="E14" s="334">
        <v>0</v>
      </c>
      <c r="F14" s="333">
        <f>SUMIF('Unos prihoda i primitaka'!$L$3:$L$501,$B14,'Unos prihoda i primitaka'!G$3:G$501)</f>
        <v>0</v>
      </c>
      <c r="G14" s="333">
        <f>SUMIF('Unos prihoda i primitaka'!$L$3:$L$501,$B14,'Unos prihoda i primitaka'!H$3:H$501)</f>
        <v>0</v>
      </c>
      <c r="H14" s="333">
        <f>SUMIF('Unos prihoda i primitaka'!$L$3:$L$501,$B14,'Unos prihoda i primitaka'!I$3:I$501)</f>
        <v>0</v>
      </c>
      <c r="I14" s="315" t="str">
        <f>'OPĆI DIO'!$C$1</f>
        <v>2452 SVEUČILIŠTE J. J. STROSSMAYERA U OSIJEKU</v>
      </c>
    </row>
    <row r="15" spans="1:10" s="315" customFormat="1">
      <c r="A15" s="263">
        <v>5</v>
      </c>
      <c r="B15" s="264"/>
      <c r="C15" s="265" t="s">
        <v>4811</v>
      </c>
      <c r="D15" s="336">
        <f t="shared" ref="D15:E15" si="2">SUM(D16:D19)</f>
        <v>0</v>
      </c>
      <c r="E15" s="336">
        <f t="shared" si="2"/>
        <v>0</v>
      </c>
      <c r="F15" s="336">
        <f>SUM(F16:F19)</f>
        <v>0</v>
      </c>
      <c r="G15" s="336">
        <f t="shared" ref="G15" si="3">SUM(G16:G19)</f>
        <v>0</v>
      </c>
      <c r="H15" s="336">
        <f t="shared" ref="H15" si="4">SUM(H16:H19)</f>
        <v>0</v>
      </c>
      <c r="I15" s="315" t="str">
        <f>'OPĆI DIO'!$C$1</f>
        <v>2452 SVEUČILIŠTE J. J. STROSSMAYERA U OSIJEKU</v>
      </c>
    </row>
    <row r="16" spans="1:10">
      <c r="A16" s="262"/>
      <c r="B16" s="262">
        <v>51</v>
      </c>
      <c r="C16" s="266" t="s">
        <v>253</v>
      </c>
      <c r="D16" s="334">
        <v>0</v>
      </c>
      <c r="E16" s="334">
        <v>0</v>
      </c>
      <c r="F16" s="335">
        <f>SUMIF('Unos rashoda i izdataka'!$P$3:$P$501,$B16,'Unos rashoda i izdataka'!J$3:J$501)+SUMIF('Unos rashoda P4'!$S$3:$S$501,$B16,'Unos rashoda P4'!H$3:H$501)</f>
        <v>0</v>
      </c>
      <c r="G16" s="335">
        <f>SUMIF('Unos rashoda i izdataka'!$P$3:$P$501,$B16,'Unos rashoda i izdataka'!K$3:K$501)+SUMIF('Unos rashoda P4'!$S$3:$S$501,$B16,'Unos rashoda P4'!I$3:I$501)</f>
        <v>0</v>
      </c>
      <c r="H16" s="335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2452 SVEUČILIŠTE J. J. STROSSMAYERA U OSIJEKU</v>
      </c>
    </row>
    <row r="17" spans="1:9" ht="25.5">
      <c r="A17" s="262"/>
      <c r="B17" s="262">
        <v>54</v>
      </c>
      <c r="C17" s="266" t="s">
        <v>254</v>
      </c>
      <c r="D17" s="334">
        <v>0</v>
      </c>
      <c r="E17" s="334">
        <v>0</v>
      </c>
      <c r="F17" s="335">
        <f>SUMIF('Unos rashoda i izdataka'!$P$3:$P$501,$B17,'Unos rashoda i izdataka'!J$3:J$501)+SUMIF('Unos rashoda P4'!$S$3:$S$501,$B17,'Unos rashoda P4'!H$3:H$501)</f>
        <v>0</v>
      </c>
      <c r="G17" s="335">
        <f>SUMIF('Unos rashoda i izdataka'!$P$3:$P$501,$B17,'Unos rashoda i izdataka'!K$3:K$501)+SUMIF('Unos rashoda P4'!$S$3:$S$501,$B17,'Unos rashoda P4'!I$3:I$501)</f>
        <v>0</v>
      </c>
      <c r="H17" s="335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2452 SVEUČILIŠTE J. J. STROSSMAYERA U OSIJEKU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'OPĆI DIO'!Podrucje_ispisa</vt:lpstr>
      <vt:lpstr>'Unos prihoda i primitaka'!Podrucje_ispisa</vt:lpstr>
      <vt:lpstr>'Unos rashoda i izdataka'!Podrucje_ispisa</vt:lpstr>
      <vt:lpstr>'Unos rashoda P4'!Podrucje_ispisa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korisnik</cp:lastModifiedBy>
  <cp:lastPrinted>2023-10-03T07:14:44Z</cp:lastPrinted>
  <dcterms:created xsi:type="dcterms:W3CDTF">2018-09-10T07:36:17Z</dcterms:created>
  <dcterms:modified xsi:type="dcterms:W3CDTF">2023-10-04T11:20:06Z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